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91" documentId="13_ncr:1_{C4A632E3-9C50-451F-9EF0-4D00A9FFEC4D}" xr6:coauthVersionLast="47" xr6:coauthVersionMax="47" xr10:uidLastSave="{80528F15-5EC9-4B3D-B5BC-4A5AA403DB94}"/>
  <bookViews>
    <workbookView xWindow="-108" yWindow="-108" windowWidth="23256" windowHeight="12576" xr2:uid="{00000000-000D-0000-FFFF-FFFF00000000}"/>
  </bookViews>
  <sheets>
    <sheet name="Data cleansing" sheetId="1" r:id="rId1"/>
    <sheet name="Calibration" sheetId="2" r:id="rId2"/>
    <sheet name="QMM_lack of data" sheetId="3" r:id="rId3"/>
    <sheet name="realized LGD calc" sheetId="4" r:id="rId4"/>
  </sheets>
  <definedNames>
    <definedName name="_AMO_UniqueIdentifier">"'98277178-136d-47c8-bf5d-5b2d120d0e9d'"</definedName>
    <definedName name="Data" localSheetId="2">#REF!</definedName>
    <definedName name="Data">#REF!</definedName>
    <definedName name="Final_PDs" localSheetId="2">#REF!</definedName>
    <definedName name="Final_PDs">#REF!</definedName>
    <definedName name="solver_adj" localSheetId="1" hidden="1">Calibration!$E$4:$E$5</definedName>
    <definedName name="solver_adj" localSheetId="2" hidden="1">'QMM_lack of data'!$C$5:$C$6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0.0001</definedName>
    <definedName name="solver_drv" localSheetId="1" hidden="1">2</definedName>
    <definedName name="solver_drv" localSheetId="2" hidden="1">2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Calibration!$E$8</definedName>
    <definedName name="solver_lhs1" localSheetId="2" hidden="1">'QMM_lack of data'!$E$6</definedName>
    <definedName name="solver_lhs2" localSheetId="1" hidden="1">Calibration!$G$20</definedName>
    <definedName name="solver_lhs2" localSheetId="2" hidden="1">'QMM_lack of data'!$E$6</definedName>
    <definedName name="solver_lhs3" localSheetId="2" hidden="1">'QMM_lack of data'!$E$5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od" localSheetId="2" hidden="1">2147483647</definedName>
    <definedName name="solver_num" localSheetId="1" hidden="1">1</definedName>
    <definedName name="solver_num" localSheetId="2" hidden="1">1</definedName>
    <definedName name="solver_nwt" localSheetId="1" hidden="1">1</definedName>
    <definedName name="solver_nwt" localSheetId="2" hidden="1">1</definedName>
    <definedName name="solver_opt" localSheetId="1" hidden="1">Calibration!$G$22</definedName>
    <definedName name="solver_opt" localSheetId="2" hidden="1">'QMM_lack of data'!$E$5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0.000001</definedName>
    <definedName name="solver_rbv" localSheetId="1" hidden="1">2</definedName>
    <definedName name="solver_rbv" localSheetId="2" hidden="1">2</definedName>
    <definedName name="solver_rel1" localSheetId="1" hidden="1">2</definedName>
    <definedName name="solver_rel1" localSheetId="2" hidden="1">2</definedName>
    <definedName name="solver_rel2" localSheetId="1" hidden="1">1</definedName>
    <definedName name="solver_rel2" localSheetId="2" hidden="1">2</definedName>
    <definedName name="solver_rel3" localSheetId="2" hidden="1">2</definedName>
    <definedName name="solver_rhs1" localSheetId="1" hidden="1">0</definedName>
    <definedName name="solver_rhs1" localSheetId="2" hidden="1">'QMM_lack of data'!$H$6</definedName>
    <definedName name="solver_rhs2" localSheetId="1" hidden="1">1</definedName>
    <definedName name="solver_rhs2" localSheetId="2" hidden="1">'QMM_lack of data'!$H$6</definedName>
    <definedName name="solver_rhs3" localSheetId="2" hidden="1">'QMM_lack of data'!$H$5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2</definedName>
    <definedName name="solver_typ" localSheetId="2" hidden="1">3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C55" i="4"/>
  <c r="D55" i="4"/>
  <c r="E55" i="4"/>
  <c r="F55" i="4"/>
  <c r="G55" i="4"/>
  <c r="H55" i="4"/>
  <c r="I55" i="4"/>
  <c r="J55" i="4"/>
  <c r="K55" i="4"/>
  <c r="L55" i="4"/>
  <c r="M55" i="4"/>
  <c r="N55" i="4"/>
  <c r="C56" i="4"/>
  <c r="D56" i="4"/>
  <c r="E56" i="4"/>
  <c r="F56" i="4"/>
  <c r="G56" i="4"/>
  <c r="H56" i="4"/>
  <c r="I56" i="4"/>
  <c r="J56" i="4"/>
  <c r="K56" i="4"/>
  <c r="L56" i="4"/>
  <c r="M56" i="4"/>
  <c r="C57" i="4"/>
  <c r="D57" i="4"/>
  <c r="E57" i="4"/>
  <c r="F57" i="4"/>
  <c r="G57" i="4"/>
  <c r="H57" i="4"/>
  <c r="I57" i="4"/>
  <c r="J57" i="4"/>
  <c r="K57" i="4"/>
  <c r="L57" i="4"/>
  <c r="C58" i="4"/>
  <c r="D58" i="4"/>
  <c r="E58" i="4"/>
  <c r="F58" i="4"/>
  <c r="G58" i="4"/>
  <c r="H58" i="4"/>
  <c r="I58" i="4"/>
  <c r="J58" i="4"/>
  <c r="K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C62" i="4"/>
  <c r="D62" i="4"/>
  <c r="E62" i="4"/>
  <c r="F62" i="4"/>
  <c r="G62" i="4"/>
  <c r="C63" i="4"/>
  <c r="D63" i="4"/>
  <c r="E63" i="4"/>
  <c r="F63" i="4"/>
  <c r="C64" i="4"/>
  <c r="D64" i="4"/>
  <c r="E64" i="4"/>
  <c r="C65" i="4"/>
  <c r="D65" i="4"/>
  <c r="C66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V67" i="4" s="1"/>
  <c r="W43" i="4"/>
  <c r="X43" i="4"/>
  <c r="X67" i="4" s="1"/>
  <c r="Y43" i="4"/>
  <c r="Z43" i="4"/>
  <c r="Z67" i="4" s="1"/>
  <c r="C43" i="4"/>
  <c r="B41" i="4"/>
  <c r="C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B43" i="4"/>
  <c r="AA43" i="4"/>
  <c r="U67" i="4" l="1"/>
  <c r="F67" i="4"/>
  <c r="N67" i="4"/>
  <c r="T67" i="4"/>
  <c r="L67" i="4"/>
  <c r="D67" i="4"/>
  <c r="C67" i="4"/>
  <c r="S67" i="4"/>
  <c r="K67" i="4"/>
  <c r="R67" i="4"/>
  <c r="J67" i="4"/>
  <c r="M67" i="4"/>
  <c r="Y67" i="4"/>
  <c r="Q67" i="4"/>
  <c r="I67" i="4"/>
  <c r="E67" i="4"/>
  <c r="G67" i="4"/>
  <c r="P67" i="4"/>
  <c r="H67" i="4"/>
  <c r="W67" i="4"/>
  <c r="O67" i="4"/>
  <c r="Z36" i="4" l="1"/>
  <c r="Z37" i="4" s="1"/>
  <c r="Y36" i="4"/>
  <c r="Y37" i="4" s="1"/>
  <c r="X36" i="4"/>
  <c r="X37" i="4" s="1"/>
  <c r="W36" i="4"/>
  <c r="W37" i="4" s="1"/>
  <c r="V36" i="4"/>
  <c r="V37" i="4" s="1"/>
  <c r="U36" i="4"/>
  <c r="U37" i="4" s="1"/>
  <c r="T36" i="4"/>
  <c r="T37" i="4" s="1"/>
  <c r="S36" i="4"/>
  <c r="S37" i="4" s="1"/>
  <c r="R36" i="4"/>
  <c r="R37" i="4" s="1"/>
  <c r="Q36" i="4"/>
  <c r="Q37" i="4" s="1"/>
  <c r="P36" i="4"/>
  <c r="P37" i="4" s="1"/>
  <c r="O36" i="4"/>
  <c r="O37" i="4" s="1"/>
  <c r="N36" i="4"/>
  <c r="N37" i="4" s="1"/>
  <c r="M36" i="4"/>
  <c r="M37" i="4" s="1"/>
  <c r="L36" i="4"/>
  <c r="L37" i="4" s="1"/>
  <c r="K36" i="4"/>
  <c r="K37" i="4" s="1"/>
  <c r="J36" i="4"/>
  <c r="J37" i="4" s="1"/>
  <c r="I36" i="4"/>
  <c r="I37" i="4" s="1"/>
  <c r="H36" i="4"/>
  <c r="H37" i="4" s="1"/>
  <c r="G36" i="4"/>
  <c r="G37" i="4" s="1"/>
  <c r="F36" i="4"/>
  <c r="F37" i="4" s="1"/>
  <c r="E36" i="4"/>
  <c r="E37" i="4" s="1"/>
  <c r="D36" i="4"/>
  <c r="D37" i="4" s="1"/>
  <c r="C36" i="4"/>
  <c r="C37" i="4" s="1"/>
  <c r="B13" i="4"/>
  <c r="B44" i="4" s="1"/>
  <c r="D10" i="4"/>
  <c r="E10" i="4" l="1"/>
  <c r="D41" i="4"/>
  <c r="B14" i="4"/>
  <c r="B45" i="4" s="1"/>
  <c r="AA44" i="4"/>
  <c r="R6" i="1"/>
  <c r="R7" i="1"/>
  <c r="R8" i="1"/>
  <c r="R9" i="1"/>
  <c r="R10" i="1"/>
  <c r="R11" i="1"/>
  <c r="R12" i="1"/>
  <c r="R13" i="1"/>
  <c r="R5" i="1"/>
  <c r="F10" i="4" l="1"/>
  <c r="E41" i="4"/>
  <c r="B15" i="4"/>
  <c r="B46" i="4" s="1"/>
  <c r="AA45" i="4"/>
  <c r="B11" i="3"/>
  <c r="D11" i="3" s="1"/>
  <c r="E11" i="3" s="1"/>
  <c r="F11" i="3" s="1"/>
  <c r="D10" i="3"/>
  <c r="E10" i="3" s="1"/>
  <c r="G10" i="4" l="1"/>
  <c r="F41" i="4"/>
  <c r="B16" i="4"/>
  <c r="B47" i="4" s="1"/>
  <c r="AA46" i="4"/>
  <c r="B12" i="3"/>
  <c r="F10" i="3"/>
  <c r="H10" i="4" l="1"/>
  <c r="G41" i="4"/>
  <c r="B17" i="4"/>
  <c r="B48" i="4" s="1"/>
  <c r="AA47" i="4"/>
  <c r="D12" i="3"/>
  <c r="E12" i="3" s="1"/>
  <c r="F12" i="3" s="1"/>
  <c r="B13" i="3"/>
  <c r="I10" i="4" l="1"/>
  <c r="H41" i="4"/>
  <c r="B18" i="4"/>
  <c r="B49" i="4" s="1"/>
  <c r="AA48" i="4"/>
  <c r="B14" i="3"/>
  <c r="D13" i="3"/>
  <c r="E13" i="3" s="1"/>
  <c r="F13" i="3" s="1"/>
  <c r="J10" i="4" l="1"/>
  <c r="I41" i="4"/>
  <c r="B19" i="4"/>
  <c r="B50" i="4" s="1"/>
  <c r="AA49" i="4"/>
  <c r="B15" i="3"/>
  <c r="D15" i="3" s="1"/>
  <c r="E15" i="3" s="1"/>
  <c r="F15" i="3" s="1"/>
  <c r="D14" i="3"/>
  <c r="E14" i="3" s="1"/>
  <c r="F14" i="3" s="1"/>
  <c r="I17" i="3" s="1"/>
  <c r="K10" i="4" l="1"/>
  <c r="J41" i="4"/>
  <c r="B20" i="4"/>
  <c r="B51" i="4" s="1"/>
  <c r="AA50" i="4"/>
  <c r="I14" i="3"/>
  <c r="I15" i="3"/>
  <c r="I10" i="3"/>
  <c r="I16" i="3"/>
  <c r="I13" i="3"/>
  <c r="I12" i="3"/>
  <c r="I11" i="3"/>
  <c r="H17" i="3"/>
  <c r="E5" i="3"/>
  <c r="F22" i="2"/>
  <c r="L10" i="4" l="1"/>
  <c r="K41" i="4"/>
  <c r="B21" i="4"/>
  <c r="B52" i="4" s="1"/>
  <c r="AA51" i="4"/>
  <c r="H13" i="3"/>
  <c r="J13" i="3" s="1"/>
  <c r="H14" i="3"/>
  <c r="H15" i="3"/>
  <c r="J15" i="3" s="1"/>
  <c r="H10" i="3"/>
  <c r="J10" i="3" s="1"/>
  <c r="H16" i="3"/>
  <c r="H12" i="3"/>
  <c r="H11" i="3"/>
  <c r="J12" i="3"/>
  <c r="E11" i="2"/>
  <c r="C12" i="2"/>
  <c r="C13" i="2" s="1"/>
  <c r="C14" i="2" s="1"/>
  <c r="C15" i="2" s="1"/>
  <c r="J14" i="3" l="1"/>
  <c r="C16" i="2"/>
  <c r="C17" i="2" s="1"/>
  <c r="C18" i="2" s="1"/>
  <c r="C19" i="2" s="1"/>
  <c r="C20" i="2" s="1"/>
  <c r="C21" i="2" s="1"/>
  <c r="E15" i="2"/>
  <c r="J11" i="3"/>
  <c r="J16" i="3"/>
  <c r="E6" i="3" s="1"/>
  <c r="M10" i="4"/>
  <c r="L41" i="4"/>
  <c r="B22" i="4"/>
  <c r="B53" i="4" s="1"/>
  <c r="AA52" i="4"/>
  <c r="E12" i="2"/>
  <c r="G11" i="2"/>
  <c r="N10" i="4" l="1"/>
  <c r="M41" i="4"/>
  <c r="B23" i="4"/>
  <c r="B54" i="4" s="1"/>
  <c r="AA53" i="4"/>
  <c r="E13" i="2"/>
  <c r="G13" i="2" s="1"/>
  <c r="G12" i="2"/>
  <c r="O10" i="4" l="1"/>
  <c r="N41" i="4"/>
  <c r="B24" i="4"/>
  <c r="B55" i="4" s="1"/>
  <c r="AA54" i="4"/>
  <c r="E14" i="2"/>
  <c r="G14" i="2" s="1"/>
  <c r="E7" i="1"/>
  <c r="E11" i="1"/>
  <c r="D14" i="1"/>
  <c r="E5" i="1" s="1"/>
  <c r="G3" i="1"/>
  <c r="C76" i="1"/>
  <c r="C75" i="1"/>
  <c r="C74" i="1"/>
  <c r="C62" i="1"/>
  <c r="C63" i="1"/>
  <c r="C64" i="1"/>
  <c r="C65" i="1"/>
  <c r="C66" i="1"/>
  <c r="C67" i="1"/>
  <c r="C68" i="1"/>
  <c r="C69" i="1"/>
  <c r="C70" i="1"/>
  <c r="C71" i="1"/>
  <c r="C72" i="1"/>
  <c r="C61" i="1"/>
  <c r="C59" i="1"/>
  <c r="C58" i="1"/>
  <c r="C57" i="1"/>
  <c r="C56" i="1"/>
  <c r="C55" i="1"/>
  <c r="C53" i="1"/>
  <c r="C52" i="1"/>
  <c r="C51" i="1"/>
  <c r="C50" i="1"/>
  <c r="C49" i="1"/>
  <c r="C40" i="1"/>
  <c r="C41" i="1"/>
  <c r="C42" i="1"/>
  <c r="C43" i="1"/>
  <c r="C44" i="1"/>
  <c r="C45" i="1"/>
  <c r="C46" i="1"/>
  <c r="C47" i="1"/>
  <c r="C39" i="1"/>
  <c r="C34" i="1"/>
  <c r="C35" i="1"/>
  <c r="C36" i="1"/>
  <c r="C37" i="1"/>
  <c r="C33" i="1"/>
  <c r="E33" i="1" s="1"/>
  <c r="P10" i="4" l="1"/>
  <c r="O41" i="4"/>
  <c r="B25" i="4"/>
  <c r="B56" i="4" s="1"/>
  <c r="AA55" i="4"/>
  <c r="E12" i="1"/>
  <c r="E10" i="1"/>
  <c r="E9" i="1"/>
  <c r="E8" i="1"/>
  <c r="E6" i="1"/>
  <c r="E13" i="1"/>
  <c r="G15" i="2"/>
  <c r="F33" i="1"/>
  <c r="D73" i="1"/>
  <c r="D60" i="1"/>
  <c r="D48" i="1"/>
  <c r="D54" i="1"/>
  <c r="D38" i="1"/>
  <c r="E56" i="1"/>
  <c r="E50" i="1"/>
  <c r="E41" i="1"/>
  <c r="E49" i="1"/>
  <c r="E55" i="1"/>
  <c r="E64" i="1"/>
  <c r="E74" i="1"/>
  <c r="E62" i="1"/>
  <c r="E40" i="1"/>
  <c r="E47" i="1"/>
  <c r="E57" i="1"/>
  <c r="E75" i="1"/>
  <c r="E67" i="1"/>
  <c r="E39" i="1"/>
  <c r="E59" i="1"/>
  <c r="E48" i="1"/>
  <c r="E45" i="1"/>
  <c r="E73" i="1"/>
  <c r="E58" i="1"/>
  <c r="E72" i="1"/>
  <c r="E76" i="1"/>
  <c r="E66" i="1"/>
  <c r="E42" i="1"/>
  <c r="E44" i="1"/>
  <c r="E51" i="1"/>
  <c r="E53" i="1"/>
  <c r="E71" i="1"/>
  <c r="E52" i="1"/>
  <c r="E63" i="1"/>
  <c r="E69" i="1"/>
  <c r="E54" i="1"/>
  <c r="E46" i="1"/>
  <c r="E61" i="1"/>
  <c r="E60" i="1"/>
  <c r="E43" i="1"/>
  <c r="E68" i="1"/>
  <c r="E65" i="1"/>
  <c r="E70" i="1"/>
  <c r="E38" i="1"/>
  <c r="E37" i="1"/>
  <c r="E36" i="1"/>
  <c r="E35" i="1"/>
  <c r="E34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4" i="1"/>
  <c r="D75" i="1"/>
  <c r="D76" i="1"/>
  <c r="D33" i="1"/>
  <c r="Q10" i="4" l="1"/>
  <c r="P41" i="4"/>
  <c r="B26" i="4"/>
  <c r="B57" i="4" s="1"/>
  <c r="AA56" i="4"/>
  <c r="E16" i="2"/>
  <c r="L31" i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L32" i="1"/>
  <c r="K32" i="1"/>
  <c r="K31" i="1"/>
  <c r="J32" i="1"/>
  <c r="J31" i="1"/>
  <c r="R10" i="4" l="1"/>
  <c r="Q41" i="4"/>
  <c r="B27" i="4"/>
  <c r="B58" i="4" s="1"/>
  <c r="AA57" i="4"/>
  <c r="G16" i="2"/>
  <c r="E17" i="2"/>
  <c r="G17" i="2" s="1"/>
  <c r="M32" i="1"/>
  <c r="M31" i="1"/>
  <c r="S10" i="4" l="1"/>
  <c r="R41" i="4"/>
  <c r="B28" i="4"/>
  <c r="B59" i="4" s="1"/>
  <c r="AA58" i="4"/>
  <c r="E18" i="2"/>
  <c r="G18" i="2" s="1"/>
  <c r="T10" i="4" l="1"/>
  <c r="S41" i="4"/>
  <c r="B29" i="4"/>
  <c r="B60" i="4" s="1"/>
  <c r="AA59" i="4"/>
  <c r="E19" i="2"/>
  <c r="U10" i="4" l="1"/>
  <c r="T41" i="4"/>
  <c r="B30" i="4"/>
  <c r="B61" i="4" s="1"/>
  <c r="AA60" i="4"/>
  <c r="G19" i="2"/>
  <c r="G20" i="2" s="1"/>
  <c r="G21" i="2" s="1"/>
  <c r="G22" i="2" s="1"/>
  <c r="E21" i="2"/>
  <c r="E20" i="2"/>
  <c r="V10" i="4" l="1"/>
  <c r="U41" i="4"/>
  <c r="B31" i="4"/>
  <c r="B62" i="4" s="1"/>
  <c r="AA61" i="4"/>
  <c r="E8" i="2"/>
  <c r="W10" i="4" l="1"/>
  <c r="V41" i="4"/>
  <c r="B32" i="4"/>
  <c r="B63" i="4" s="1"/>
  <c r="AA62" i="4"/>
  <c r="E23" i="1"/>
  <c r="H23" i="1" s="1"/>
  <c r="F27" i="1"/>
  <c r="F23" i="1"/>
  <c r="F20" i="1"/>
  <c r="F24" i="1"/>
  <c r="G24" i="1" s="1"/>
  <c r="F21" i="1"/>
  <c r="I21" i="1" s="1"/>
  <c r="F22" i="1"/>
  <c r="E26" i="1"/>
  <c r="H26" i="1" s="1"/>
  <c r="F25" i="1"/>
  <c r="F26" i="1"/>
  <c r="F19" i="1"/>
  <c r="F8" i="1"/>
  <c r="F6" i="1"/>
  <c r="F13" i="1"/>
  <c r="F12" i="1"/>
  <c r="F11" i="1"/>
  <c r="E25" i="1" s="1"/>
  <c r="F7" i="1"/>
  <c r="E21" i="1" s="1"/>
  <c r="F10" i="1"/>
  <c r="E24" i="1" s="1"/>
  <c r="F9" i="1"/>
  <c r="G14" i="1"/>
  <c r="I9" i="1" s="1"/>
  <c r="F5" i="1"/>
  <c r="X10" i="4" l="1"/>
  <c r="W41" i="4"/>
  <c r="B33" i="4"/>
  <c r="B64" i="4" s="1"/>
  <c r="AA63" i="4"/>
  <c r="I27" i="1"/>
  <c r="G23" i="1"/>
  <c r="J23" i="1" s="1"/>
  <c r="H12" i="1"/>
  <c r="F14" i="1"/>
  <c r="H13" i="1" s="1"/>
  <c r="G26" i="1"/>
  <c r="J26" i="1" s="1"/>
  <c r="I23" i="1"/>
  <c r="H8" i="1"/>
  <c r="J8" i="1" s="1"/>
  <c r="E27" i="1"/>
  <c r="G27" i="1" s="1"/>
  <c r="H25" i="1"/>
  <c r="D25" i="1"/>
  <c r="H10" i="1"/>
  <c r="H9" i="1"/>
  <c r="H7" i="1"/>
  <c r="H24" i="1"/>
  <c r="J24" i="1" s="1"/>
  <c r="D24" i="1"/>
  <c r="I24" i="1"/>
  <c r="H21" i="1"/>
  <c r="D21" i="1"/>
  <c r="G21" i="1"/>
  <c r="J21" i="1" s="1"/>
  <c r="I25" i="1"/>
  <c r="I11" i="1"/>
  <c r="I6" i="1"/>
  <c r="G25" i="1"/>
  <c r="J25" i="1" s="1"/>
  <c r="D27" i="1"/>
  <c r="D23" i="1"/>
  <c r="F28" i="1"/>
  <c r="I26" i="1"/>
  <c r="E20" i="1"/>
  <c r="I5" i="1"/>
  <c r="I8" i="1"/>
  <c r="H27" i="1"/>
  <c r="J27" i="1" s="1"/>
  <c r="I10" i="1"/>
  <c r="I13" i="1"/>
  <c r="D26" i="1"/>
  <c r="H11" i="1"/>
  <c r="I12" i="1"/>
  <c r="E19" i="1"/>
  <c r="G19" i="1" s="1"/>
  <c r="I7" i="1"/>
  <c r="E22" i="1"/>
  <c r="H5" i="1"/>
  <c r="Y10" i="4" l="1"/>
  <c r="X41" i="4"/>
  <c r="B34" i="4"/>
  <c r="B65" i="4" s="1"/>
  <c r="AA64" i="4"/>
  <c r="K8" i="1"/>
  <c r="H6" i="1"/>
  <c r="J13" i="1"/>
  <c r="H22" i="1"/>
  <c r="D22" i="1"/>
  <c r="G22" i="1"/>
  <c r="I22" i="1"/>
  <c r="I19" i="1"/>
  <c r="J5" i="1"/>
  <c r="H14" i="1"/>
  <c r="K5" i="1"/>
  <c r="K13" i="1"/>
  <c r="I14" i="1"/>
  <c r="J7" i="1"/>
  <c r="K7" i="1" s="1"/>
  <c r="J6" i="1"/>
  <c r="K6" i="1" s="1"/>
  <c r="H20" i="1"/>
  <c r="D20" i="1"/>
  <c r="J9" i="1"/>
  <c r="K9" i="1" s="1"/>
  <c r="J10" i="1"/>
  <c r="K10" i="1" s="1"/>
  <c r="J12" i="1"/>
  <c r="K12" i="1" s="1"/>
  <c r="E28" i="1"/>
  <c r="H19" i="1"/>
  <c r="J19" i="1" s="1"/>
  <c r="D19" i="1"/>
  <c r="K11" i="1"/>
  <c r="J11" i="1"/>
  <c r="I20" i="1"/>
  <c r="G20" i="1"/>
  <c r="Z10" i="4" l="1"/>
  <c r="Y41" i="4"/>
  <c r="B35" i="4"/>
  <c r="AA65" i="4"/>
  <c r="J22" i="1"/>
  <c r="J20" i="1"/>
  <c r="K14" i="1"/>
  <c r="AA66" i="4" l="1"/>
  <c r="B66" i="4"/>
  <c r="C5" i="4"/>
  <c r="Z41" i="4"/>
  <c r="M68" i="4" l="1"/>
  <c r="M69" i="4" s="1"/>
  <c r="M70" i="4" s="1"/>
  <c r="N68" i="4"/>
  <c r="N69" i="4" s="1"/>
  <c r="N70" i="4" s="1"/>
  <c r="W68" i="4"/>
  <c r="W69" i="4" s="1"/>
  <c r="W70" i="4" s="1"/>
  <c r="C68" i="4"/>
  <c r="C69" i="4" s="1"/>
  <c r="C70" i="4" s="1"/>
  <c r="L68" i="4"/>
  <c r="L69" i="4" s="1"/>
  <c r="L70" i="4" s="1"/>
  <c r="H68" i="4"/>
  <c r="H69" i="4" s="1"/>
  <c r="H70" i="4" s="1"/>
  <c r="G68" i="4"/>
  <c r="G69" i="4" s="1"/>
  <c r="G70" i="4" s="1"/>
  <c r="R68" i="4"/>
  <c r="R69" i="4" s="1"/>
  <c r="R70" i="4" s="1"/>
  <c r="Z68" i="4"/>
  <c r="Z69" i="4" s="1"/>
  <c r="Z70" i="4" s="1"/>
  <c r="V68" i="4"/>
  <c r="V69" i="4" s="1"/>
  <c r="V70" i="4" s="1"/>
  <c r="U68" i="4"/>
  <c r="U69" i="4" s="1"/>
  <c r="U70" i="4" s="1"/>
  <c r="Q68" i="4"/>
  <c r="Q69" i="4" s="1"/>
  <c r="Q70" i="4" s="1"/>
  <c r="X68" i="4"/>
  <c r="X69" i="4" s="1"/>
  <c r="X70" i="4" s="1"/>
  <c r="P68" i="4"/>
  <c r="P69" i="4" s="1"/>
  <c r="P70" i="4" s="1"/>
  <c r="S68" i="4"/>
  <c r="S69" i="4" s="1"/>
  <c r="S70" i="4" s="1"/>
  <c r="Y68" i="4"/>
  <c r="Y69" i="4" s="1"/>
  <c r="Y70" i="4" s="1"/>
  <c r="O68" i="4"/>
  <c r="O69" i="4" s="1"/>
  <c r="O70" i="4" s="1"/>
  <c r="I68" i="4"/>
  <c r="I69" i="4" s="1"/>
  <c r="I70" i="4" s="1"/>
  <c r="J68" i="4"/>
  <c r="J69" i="4" s="1"/>
  <c r="J70" i="4" s="1"/>
  <c r="T68" i="4"/>
  <c r="T69" i="4" s="1"/>
  <c r="T70" i="4" s="1"/>
  <c r="F68" i="4"/>
  <c r="F69" i="4" s="1"/>
  <c r="F70" i="4" s="1"/>
  <c r="D68" i="4"/>
  <c r="D69" i="4" s="1"/>
  <c r="D70" i="4" s="1"/>
  <c r="K68" i="4"/>
  <c r="K69" i="4" s="1"/>
  <c r="K70" i="4" s="1"/>
  <c r="E68" i="4"/>
  <c r="E69" i="4" s="1"/>
  <c r="E7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tc={38036989-5F8E-4857-AA8E-4D05A978A0CB}</author>
  </authors>
  <commentList>
    <comment ref="C10" authorId="0" shapeId="0" xr:uid="{38036989-5F8E-4857-AA8E-4D05A978A0CB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defaults during December 2016</t>
      </text>
    </comment>
  </commentList>
</comments>
</file>

<file path=xl/sharedStrings.xml><?xml version="1.0" encoding="utf-8"?>
<sst xmlns="http://schemas.openxmlformats.org/spreadsheetml/2006/main" count="117" uniqueCount="88">
  <si>
    <t>WOE</t>
  </si>
  <si>
    <t>IV</t>
  </si>
  <si>
    <t>Logit transformation</t>
  </si>
  <si>
    <t>Range</t>
  </si>
  <si>
    <t>Bin</t>
  </si>
  <si>
    <t>Non events</t>
  </si>
  <si>
    <t>Events</t>
  </si>
  <si>
    <t>% Non events</t>
  </si>
  <si>
    <t>% Events</t>
  </si>
  <si>
    <t>0-50</t>
  </si>
  <si>
    <t>51-100</t>
  </si>
  <si>
    <t>101-150</t>
  </si>
  <si>
    <t>151-200</t>
  </si>
  <si>
    <t>201-250</t>
  </si>
  <si>
    <t>251-300</t>
  </si>
  <si>
    <t>301-350</t>
  </si>
  <si>
    <t>351-400</t>
  </si>
  <si>
    <t>400+</t>
  </si>
  <si>
    <t>total</t>
  </si>
  <si>
    <t>Total trials</t>
  </si>
  <si>
    <t>original</t>
  </si>
  <si>
    <t>perfect model</t>
  </si>
  <si>
    <t>WOE and IV</t>
  </si>
  <si>
    <t>1-P</t>
  </si>
  <si>
    <t>Smoothing</t>
  </si>
  <si>
    <t>Odds</t>
  </si>
  <si>
    <t>ln odds (Logit transformation)</t>
  </si>
  <si>
    <t>P of occuring event</t>
  </si>
  <si>
    <t>Variable</t>
  </si>
  <si>
    <t>mean</t>
  </si>
  <si>
    <t>raw</t>
  </si>
  <si>
    <t>std dev</t>
  </si>
  <si>
    <t>Expotential smoothing</t>
  </si>
  <si>
    <t>Moving average of raw data</t>
  </si>
  <si>
    <t>Period</t>
  </si>
  <si>
    <t>Av instead outliers</t>
  </si>
  <si>
    <t>alpha</t>
  </si>
  <si>
    <t>% of observations</t>
  </si>
  <si>
    <t xml:space="preserve"> </t>
  </si>
  <si>
    <t>b0</t>
  </si>
  <si>
    <t>b1</t>
  </si>
  <si>
    <t>Rating</t>
  </si>
  <si>
    <t>Factual DR</t>
  </si>
  <si>
    <t>PD after calibration</t>
  </si>
  <si>
    <t>Check</t>
  </si>
  <si>
    <t>Count of borrowers</t>
  </si>
  <si>
    <t>SE</t>
  </si>
  <si>
    <t>Av score (X)</t>
  </si>
  <si>
    <t>Sum</t>
  </si>
  <si>
    <t>beta 0</t>
  </si>
  <si>
    <t>CT</t>
  </si>
  <si>
    <t>beta 1</t>
  </si>
  <si>
    <t>Gini</t>
  </si>
  <si>
    <t>Score</t>
  </si>
  <si>
    <t>PD</t>
  </si>
  <si>
    <t>1-PD</t>
  </si>
  <si>
    <t>DR_cum</t>
  </si>
  <si>
    <t>NDR_cum</t>
  </si>
  <si>
    <t>ROC</t>
  </si>
  <si>
    <t>C</t>
  </si>
  <si>
    <t>B</t>
  </si>
  <si>
    <t>BB</t>
  </si>
  <si>
    <t>BBB</t>
  </si>
  <si>
    <t>A</t>
  </si>
  <si>
    <t>AAA + AA</t>
  </si>
  <si>
    <t>Anchor point (DR)</t>
  </si>
  <si>
    <t>Full recovery horizon 2 years</t>
  </si>
  <si>
    <t>current date</t>
  </si>
  <si>
    <t>Effective interest rate</t>
  </si>
  <si>
    <t>Balance at the default date</t>
  </si>
  <si>
    <t>Month of work with generation</t>
  </si>
  <si>
    <t>Total LGD (rub) - not discounted</t>
  </si>
  <si>
    <t>Undiscounted LGD calc</t>
  </si>
  <si>
    <t>step 1</t>
  </si>
  <si>
    <t>Total LGD (%) - not discounted</t>
  </si>
  <si>
    <t>RR calc</t>
  </si>
  <si>
    <t>Discounting factors</t>
  </si>
  <si>
    <t>Total recovery - not discounted (rub)</t>
  </si>
  <si>
    <t>Total recovery - discounted (rub)</t>
  </si>
  <si>
    <t>Total LGD - discounted (%)</t>
  </si>
  <si>
    <t>step 2</t>
  </si>
  <si>
    <t>Total recovery rate - discounted (%)</t>
  </si>
  <si>
    <t>Realized LGD calc</t>
  </si>
  <si>
    <t>Generations of defaults=&gt;</t>
  </si>
  <si>
    <t>To recalculate b0 and b1 use Solver</t>
  </si>
  <si>
    <t>Change the factual data</t>
  </si>
  <si>
    <t>expected DR=&gt;</t>
  </si>
  <si>
    <t>Predictive power of the model=&gt;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</si>
</sst>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_(* #,##0.00_);_(* \(#,##0.00\);_(* &quot;-&quot;??_);_(@_)"/>
    <numFmt numFmtId="166" formatCode="0.0%"/>
    <numFmt numFmtId="167" formatCode="_(* #,##0.0_);_(* \(#,##0.0\);_(* &quot;-&quot;??_);_(@_)"/>
    <numFmt numFmtId="168" formatCode="_(* #,##0.0000_);_(* \(#,##0.0000\);_(* &quot;-&quot;??_);_(@_)"/>
    <numFmt numFmtId="169" formatCode="0.0"/>
    <numFmt numFmtId="170" formatCode="_(* #,##0.00000_);_(* \(#,##0.00000\);_(* &quot;-&quot;??_);_(@_)"/>
    <numFmt numFmtId="171" formatCode="_(* #,##0.0000000_);_(* \(#,##0.0000000\);_(* &quot;-&quot;??_);_(@_)"/>
    <numFmt numFmtId="172" formatCode="_-* #,##0.00\ _₽_-;\-* #,##0.00\ _₽_-;_-* &quot;-&quot;??\ _₽_-;_-@_-"/>
    <numFmt numFmtId="173" formatCode="d/m/yy;@"/>
    <numFmt numFmtId="174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scheme val="minor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9" fontId="2" fillId="0" borderId="0" xfId="2" applyFont="1"/>
    <xf numFmtId="166" fontId="2" fillId="0" borderId="0" xfId="2" applyNumberFormat="1" applyFont="1"/>
    <xf numFmtId="167" fontId="2" fillId="0" borderId="0" xfId="1" applyNumberFormat="1" applyFont="1"/>
    <xf numFmtId="165" fontId="2" fillId="0" borderId="0" xfId="1" applyNumberFormat="1" applyFont="1"/>
    <xf numFmtId="168" fontId="2" fillId="0" borderId="0" xfId="0" applyNumberFormat="1" applyFont="1"/>
    <xf numFmtId="9" fontId="2" fillId="0" borderId="0" xfId="0" applyNumberFormat="1" applyFont="1"/>
    <xf numFmtId="169" fontId="2" fillId="0" borderId="0" xfId="0" applyNumberFormat="1" applyFont="1"/>
    <xf numFmtId="16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2" fillId="0" borderId="0" xfId="0" applyFont="1" applyAlignment="1">
      <alignment wrapText="1"/>
    </xf>
    <xf numFmtId="170" fontId="2" fillId="0" borderId="0" xfId="1" applyNumberFormat="1" applyFont="1"/>
    <xf numFmtId="0" fontId="3" fillId="0" borderId="0" xfId="0" applyFont="1"/>
    <xf numFmtId="14" fontId="2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169" fontId="2" fillId="0" borderId="0" xfId="0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Alignment="1">
      <alignment wrapText="1"/>
    </xf>
    <xf numFmtId="0" fontId="4" fillId="0" borderId="0" xfId="0" applyFont="1"/>
    <xf numFmtId="165" fontId="0" fillId="0" borderId="0" xfId="1" applyFont="1"/>
    <xf numFmtId="171" fontId="0" fillId="0" borderId="0" xfId="1" applyNumberFormat="1" applyFon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3" applyFont="1" applyAlignment="1"/>
    <xf numFmtId="10" fontId="6" fillId="0" borderId="0" xfId="4" applyNumberFormat="1" applyFont="1" applyAlignment="1"/>
    <xf numFmtId="0" fontId="6" fillId="0" borderId="0" xfId="3" applyFont="1" applyAlignment="1">
      <alignment wrapText="1"/>
    </xf>
    <xf numFmtId="10" fontId="6" fillId="0" borderId="0" xfId="4" applyNumberFormat="1" applyFont="1" applyAlignment="1">
      <alignment horizontal="center"/>
    </xf>
    <xf numFmtId="0" fontId="7" fillId="0" borderId="0" xfId="3" applyFont="1" applyFill="1" applyBorder="1" applyAlignment="1"/>
    <xf numFmtId="172" fontId="6" fillId="0" borderId="0" xfId="5" applyFont="1" applyFill="1" applyBorder="1" applyAlignment="1"/>
    <xf numFmtId="10" fontId="6" fillId="0" borderId="0" xfId="4" applyNumberFormat="1" applyFont="1" applyFill="1" applyBorder="1" applyAlignment="1"/>
    <xf numFmtId="10" fontId="6" fillId="0" borderId="0" xfId="4" applyNumberFormat="1" applyFont="1" applyFill="1" applyAlignment="1"/>
    <xf numFmtId="0" fontId="6" fillId="0" borderId="0" xfId="3" applyFont="1" applyFill="1" applyAlignment="1"/>
    <xf numFmtId="0" fontId="6" fillId="0" borderId="0" xfId="3" applyFont="1" applyAlignment="1">
      <alignment horizontal="center"/>
    </xf>
    <xf numFmtId="172" fontId="7" fillId="0" borderId="0" xfId="5" applyFont="1" applyAlignment="1">
      <alignment horizontal="center"/>
    </xf>
    <xf numFmtId="0" fontId="7" fillId="0" borderId="0" xfId="3" applyFont="1" applyAlignment="1">
      <alignment horizontal="center"/>
    </xf>
    <xf numFmtId="10" fontId="7" fillId="0" borderId="0" xfId="4" applyNumberFormat="1" applyFont="1" applyAlignment="1">
      <alignment horizontal="center"/>
    </xf>
    <xf numFmtId="10" fontId="6" fillId="0" borderId="0" xfId="3" applyNumberFormat="1" applyFont="1" applyAlignment="1">
      <alignment horizontal="center"/>
    </xf>
    <xf numFmtId="166" fontId="6" fillId="0" borderId="0" xfId="4" applyNumberFormat="1" applyFont="1" applyAlignment="1">
      <alignment horizontal="center"/>
    </xf>
    <xf numFmtId="10" fontId="7" fillId="0" borderId="0" xfId="4" applyNumberFormat="1" applyFont="1" applyAlignment="1"/>
    <xf numFmtId="10" fontId="6" fillId="0" borderId="0" xfId="3" applyNumberFormat="1" applyFont="1" applyAlignment="1"/>
    <xf numFmtId="0" fontId="8" fillId="0" borderId="0" xfId="0" applyFont="1" applyAlignment="1">
      <alignment vertical="center"/>
    </xf>
    <xf numFmtId="173" fontId="8" fillId="0" borderId="0" xfId="0" applyNumberFormat="1" applyFont="1" applyAlignment="1">
      <alignment vertical="center"/>
    </xf>
    <xf numFmtId="9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73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4" fontId="8" fillId="0" borderId="0" xfId="6" applyNumberFormat="1" applyFont="1" applyAlignment="1">
      <alignment vertical="center"/>
    </xf>
    <xf numFmtId="174" fontId="8" fillId="0" borderId="0" xfId="6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164" fontId="8" fillId="0" borderId="0" xfId="6" applyNumberFormat="1" applyFont="1" applyAlignment="1">
      <alignment vertical="center"/>
    </xf>
    <xf numFmtId="0" fontId="9" fillId="4" borderId="0" xfId="0" applyFont="1" applyFill="1" applyAlignment="1">
      <alignment vertical="center"/>
    </xf>
    <xf numFmtId="173" fontId="9" fillId="0" borderId="0" xfId="0" applyNumberFormat="1" applyFont="1" applyAlignment="1">
      <alignment vertical="center" wrapText="1"/>
    </xf>
    <xf numFmtId="167" fontId="8" fillId="0" borderId="0" xfId="1" applyNumberFormat="1" applyFont="1" applyAlignment="1">
      <alignment vertical="center"/>
    </xf>
    <xf numFmtId="166" fontId="9" fillId="0" borderId="0" xfId="2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74" fontId="8" fillId="3" borderId="0" xfId="6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66" fontId="11" fillId="0" borderId="0" xfId="2" applyNumberFormat="1" applyFont="1"/>
    <xf numFmtId="0" fontId="11" fillId="0" borderId="0" xfId="0" applyFont="1" applyAlignment="1">
      <alignment horizontal="center" vertical="center" wrapText="1"/>
    </xf>
    <xf numFmtId="0" fontId="7" fillId="0" borderId="1" xfId="3" applyFont="1" applyFill="1" applyBorder="1" applyAlignment="1"/>
    <xf numFmtId="172" fontId="6" fillId="0" borderId="2" xfId="5" applyFont="1" applyFill="1" applyBorder="1" applyAlignment="1"/>
    <xf numFmtId="0" fontId="7" fillId="0" borderId="3" xfId="3" applyFont="1" applyFill="1" applyBorder="1" applyAlignment="1"/>
    <xf numFmtId="172" fontId="6" fillId="0" borderId="4" xfId="5" applyFont="1" applyFill="1" applyBorder="1" applyAlignment="1"/>
    <xf numFmtId="0" fontId="12" fillId="0" borderId="1" xfId="3" applyFont="1" applyFill="1" applyBorder="1" applyAlignment="1"/>
    <xf numFmtId="10" fontId="12" fillId="0" borderId="2" xfId="4" applyNumberFormat="1" applyFont="1" applyFill="1" applyBorder="1" applyAlignment="1">
      <alignment horizontal="center"/>
    </xf>
    <xf numFmtId="0" fontId="12" fillId="0" borderId="3" xfId="3" applyFont="1" applyFill="1" applyBorder="1" applyAlignment="1"/>
    <xf numFmtId="10" fontId="12" fillId="0" borderId="4" xfId="4" applyNumberFormat="1" applyFont="1" applyFill="1" applyBorder="1" applyAlignment="1">
      <alignment horizontal="center"/>
    </xf>
  </cellXfs>
  <cellStyles count="7">
    <cellStyle name="Comma" xfId="1" builtinId="3"/>
    <cellStyle name="Comma 2" xfId="6" xr:uid="{7A6CB458-B313-4051-B5A9-7850B197BC27}"/>
    <cellStyle name="Normal" xfId="0" builtinId="0"/>
    <cellStyle name="Percent" xfId="2" builtinId="5"/>
    <cellStyle name="Обычный 2" xfId="3" xr:uid="{00000000-0005-0000-0000-000001000000}"/>
    <cellStyle name="Процентный 2" xfId="4" xr:uid="{00000000-0005-0000-0000-000003000000}"/>
    <cellStyle name="Финансовый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cleansing'!$C$32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cleansing'!$B$33:$B$76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'Data cleansing'!$C$33:$C$76</c:f>
              <c:numCache>
                <c:formatCode>General</c:formatCode>
                <c:ptCount val="44"/>
                <c:pt idx="0">
                  <c:v>33</c:v>
                </c:pt>
                <c:pt idx="1">
                  <c:v>-36</c:v>
                </c:pt>
                <c:pt idx="2">
                  <c:v>72</c:v>
                </c:pt>
                <c:pt idx="3">
                  <c:v>23</c:v>
                </c:pt>
                <c:pt idx="4">
                  <c:v>-71</c:v>
                </c:pt>
                <c:pt idx="5">
                  <c:v>-400</c:v>
                </c:pt>
                <c:pt idx="6">
                  <c:v>-84</c:v>
                </c:pt>
                <c:pt idx="7">
                  <c:v>-11</c:v>
                </c:pt>
                <c:pt idx="8">
                  <c:v>-99</c:v>
                </c:pt>
                <c:pt idx="9">
                  <c:v>11</c:v>
                </c:pt>
                <c:pt idx="10">
                  <c:v>-77</c:v>
                </c:pt>
                <c:pt idx="11">
                  <c:v>59</c:v>
                </c:pt>
                <c:pt idx="12">
                  <c:v>37</c:v>
                </c:pt>
                <c:pt idx="13">
                  <c:v>53</c:v>
                </c:pt>
                <c:pt idx="14">
                  <c:v>4</c:v>
                </c:pt>
                <c:pt idx="15">
                  <c:v>260</c:v>
                </c:pt>
                <c:pt idx="16">
                  <c:v>-31</c:v>
                </c:pt>
                <c:pt idx="17">
                  <c:v>-68</c:v>
                </c:pt>
                <c:pt idx="18">
                  <c:v>37</c:v>
                </c:pt>
                <c:pt idx="19">
                  <c:v>-86</c:v>
                </c:pt>
                <c:pt idx="20">
                  <c:v>22</c:v>
                </c:pt>
                <c:pt idx="21">
                  <c:v>320</c:v>
                </c:pt>
                <c:pt idx="22">
                  <c:v>-20</c:v>
                </c:pt>
                <c:pt idx="23">
                  <c:v>6</c:v>
                </c:pt>
                <c:pt idx="24">
                  <c:v>41</c:v>
                </c:pt>
                <c:pt idx="25">
                  <c:v>85</c:v>
                </c:pt>
                <c:pt idx="26">
                  <c:v>56</c:v>
                </c:pt>
                <c:pt idx="27">
                  <c:v>234</c:v>
                </c:pt>
                <c:pt idx="28">
                  <c:v>84</c:v>
                </c:pt>
                <c:pt idx="29">
                  <c:v>57</c:v>
                </c:pt>
                <c:pt idx="30">
                  <c:v>18</c:v>
                </c:pt>
                <c:pt idx="31">
                  <c:v>78</c:v>
                </c:pt>
                <c:pt idx="32">
                  <c:v>-61</c:v>
                </c:pt>
                <c:pt idx="33">
                  <c:v>81</c:v>
                </c:pt>
                <c:pt idx="34">
                  <c:v>72</c:v>
                </c:pt>
                <c:pt idx="35">
                  <c:v>93</c:v>
                </c:pt>
                <c:pt idx="36">
                  <c:v>-37</c:v>
                </c:pt>
                <c:pt idx="37">
                  <c:v>61</c:v>
                </c:pt>
                <c:pt idx="38">
                  <c:v>6</c:v>
                </c:pt>
                <c:pt idx="39">
                  <c:v>100</c:v>
                </c:pt>
                <c:pt idx="40">
                  <c:v>-324</c:v>
                </c:pt>
                <c:pt idx="41">
                  <c:v>92</c:v>
                </c:pt>
                <c:pt idx="42">
                  <c:v>37</c:v>
                </c:pt>
                <c:pt idx="4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C-4CF4-840B-D64C72FF5004}"/>
            </c:ext>
          </c:extLst>
        </c:ser>
        <c:ser>
          <c:idx val="1"/>
          <c:order val="1"/>
          <c:tx>
            <c:strRef>
              <c:f>'Data cleansing'!$D$32</c:f>
              <c:strCache>
                <c:ptCount val="1"/>
                <c:pt idx="0">
                  <c:v>Av instead outliers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cleansing'!$B$33:$B$76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'Data cleansing'!$D$33:$D$76</c:f>
              <c:numCache>
                <c:formatCode>0.0</c:formatCode>
                <c:ptCount val="44"/>
                <c:pt idx="0">
                  <c:v>33</c:v>
                </c:pt>
                <c:pt idx="1">
                  <c:v>-36</c:v>
                </c:pt>
                <c:pt idx="2">
                  <c:v>72</c:v>
                </c:pt>
                <c:pt idx="3">
                  <c:v>23</c:v>
                </c:pt>
                <c:pt idx="4">
                  <c:v>-71</c:v>
                </c:pt>
                <c:pt idx="5">
                  <c:v>18</c:v>
                </c:pt>
                <c:pt idx="6">
                  <c:v>-84</c:v>
                </c:pt>
                <c:pt idx="7">
                  <c:v>-11</c:v>
                </c:pt>
                <c:pt idx="8">
                  <c:v>-99</c:v>
                </c:pt>
                <c:pt idx="9">
                  <c:v>11</c:v>
                </c:pt>
                <c:pt idx="10">
                  <c:v>-77</c:v>
                </c:pt>
                <c:pt idx="11">
                  <c:v>59</c:v>
                </c:pt>
                <c:pt idx="12">
                  <c:v>37</c:v>
                </c:pt>
                <c:pt idx="13">
                  <c:v>53</c:v>
                </c:pt>
                <c:pt idx="14">
                  <c:v>4</c:v>
                </c:pt>
                <c:pt idx="15">
                  <c:v>18</c:v>
                </c:pt>
                <c:pt idx="16">
                  <c:v>-31</c:v>
                </c:pt>
                <c:pt idx="17">
                  <c:v>-68</c:v>
                </c:pt>
                <c:pt idx="18">
                  <c:v>37</c:v>
                </c:pt>
                <c:pt idx="19">
                  <c:v>-86</c:v>
                </c:pt>
                <c:pt idx="20">
                  <c:v>22</c:v>
                </c:pt>
                <c:pt idx="21">
                  <c:v>18</c:v>
                </c:pt>
                <c:pt idx="22">
                  <c:v>-20</c:v>
                </c:pt>
                <c:pt idx="23">
                  <c:v>6</c:v>
                </c:pt>
                <c:pt idx="24">
                  <c:v>41</c:v>
                </c:pt>
                <c:pt idx="25">
                  <c:v>85</c:v>
                </c:pt>
                <c:pt idx="26">
                  <c:v>56</c:v>
                </c:pt>
                <c:pt idx="27">
                  <c:v>18</c:v>
                </c:pt>
                <c:pt idx="28">
                  <c:v>84</c:v>
                </c:pt>
                <c:pt idx="29">
                  <c:v>57</c:v>
                </c:pt>
                <c:pt idx="30">
                  <c:v>18</c:v>
                </c:pt>
                <c:pt idx="31">
                  <c:v>78</c:v>
                </c:pt>
                <c:pt idx="32">
                  <c:v>-61</c:v>
                </c:pt>
                <c:pt idx="33">
                  <c:v>81</c:v>
                </c:pt>
                <c:pt idx="34">
                  <c:v>72</c:v>
                </c:pt>
                <c:pt idx="35">
                  <c:v>93</c:v>
                </c:pt>
                <c:pt idx="36">
                  <c:v>-37</c:v>
                </c:pt>
                <c:pt idx="37">
                  <c:v>61</c:v>
                </c:pt>
                <c:pt idx="38">
                  <c:v>6</c:v>
                </c:pt>
                <c:pt idx="39">
                  <c:v>100</c:v>
                </c:pt>
                <c:pt idx="40">
                  <c:v>18</c:v>
                </c:pt>
                <c:pt idx="41">
                  <c:v>92</c:v>
                </c:pt>
                <c:pt idx="42">
                  <c:v>37</c:v>
                </c:pt>
                <c:pt idx="4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C-4CF4-840B-D64C72FF5004}"/>
            </c:ext>
          </c:extLst>
        </c:ser>
        <c:ser>
          <c:idx val="2"/>
          <c:order val="2"/>
          <c:tx>
            <c:strRef>
              <c:f>'Data cleansing'!$E$32</c:f>
              <c:strCache>
                <c:ptCount val="1"/>
                <c:pt idx="0">
                  <c:v>Moving average of raw data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cleansing'!$B$33:$B$76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'Data cleansing'!$E$33:$E$76</c:f>
              <c:numCache>
                <c:formatCode>General</c:formatCode>
                <c:ptCount val="44"/>
                <c:pt idx="0">
                  <c:v>33</c:v>
                </c:pt>
                <c:pt idx="1">
                  <c:v>-1.5</c:v>
                </c:pt>
                <c:pt idx="2">
                  <c:v>23</c:v>
                </c:pt>
                <c:pt idx="3">
                  <c:v>23</c:v>
                </c:pt>
                <c:pt idx="4">
                  <c:v>4.2</c:v>
                </c:pt>
                <c:pt idx="5">
                  <c:v>-82.4</c:v>
                </c:pt>
                <c:pt idx="6">
                  <c:v>-92</c:v>
                </c:pt>
                <c:pt idx="7">
                  <c:v>-108.6</c:v>
                </c:pt>
                <c:pt idx="8">
                  <c:v>-133</c:v>
                </c:pt>
                <c:pt idx="9">
                  <c:v>-116.6</c:v>
                </c:pt>
                <c:pt idx="10">
                  <c:v>-52</c:v>
                </c:pt>
                <c:pt idx="11">
                  <c:v>-23.4</c:v>
                </c:pt>
                <c:pt idx="12">
                  <c:v>-13.8</c:v>
                </c:pt>
                <c:pt idx="13">
                  <c:v>16.600000000000001</c:v>
                </c:pt>
                <c:pt idx="14">
                  <c:v>15.2</c:v>
                </c:pt>
                <c:pt idx="15">
                  <c:v>82.6</c:v>
                </c:pt>
                <c:pt idx="16">
                  <c:v>64.599999999999994</c:v>
                </c:pt>
                <c:pt idx="17">
                  <c:v>43.6</c:v>
                </c:pt>
                <c:pt idx="18">
                  <c:v>40.4</c:v>
                </c:pt>
                <c:pt idx="19">
                  <c:v>22.4</c:v>
                </c:pt>
                <c:pt idx="20">
                  <c:v>-25.2</c:v>
                </c:pt>
                <c:pt idx="21">
                  <c:v>45</c:v>
                </c:pt>
                <c:pt idx="22">
                  <c:v>54.6</c:v>
                </c:pt>
                <c:pt idx="23">
                  <c:v>48.4</c:v>
                </c:pt>
                <c:pt idx="24">
                  <c:v>73.8</c:v>
                </c:pt>
                <c:pt idx="25">
                  <c:v>86.4</c:v>
                </c:pt>
                <c:pt idx="26">
                  <c:v>33.6</c:v>
                </c:pt>
                <c:pt idx="27">
                  <c:v>84.4</c:v>
                </c:pt>
                <c:pt idx="28">
                  <c:v>100</c:v>
                </c:pt>
                <c:pt idx="29">
                  <c:v>103.2</c:v>
                </c:pt>
                <c:pt idx="30">
                  <c:v>89.8</c:v>
                </c:pt>
                <c:pt idx="31">
                  <c:v>94.2</c:v>
                </c:pt>
                <c:pt idx="32">
                  <c:v>35.200000000000003</c:v>
                </c:pt>
                <c:pt idx="33">
                  <c:v>34.6</c:v>
                </c:pt>
                <c:pt idx="34">
                  <c:v>37.6</c:v>
                </c:pt>
                <c:pt idx="35">
                  <c:v>52.6</c:v>
                </c:pt>
                <c:pt idx="36">
                  <c:v>29.6</c:v>
                </c:pt>
                <c:pt idx="37">
                  <c:v>54</c:v>
                </c:pt>
                <c:pt idx="38">
                  <c:v>39</c:v>
                </c:pt>
                <c:pt idx="39">
                  <c:v>44.6</c:v>
                </c:pt>
                <c:pt idx="40">
                  <c:v>-38.799999999999997</c:v>
                </c:pt>
                <c:pt idx="41">
                  <c:v>-13</c:v>
                </c:pt>
                <c:pt idx="42">
                  <c:v>-17.8</c:v>
                </c:pt>
                <c:pt idx="43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7C-4CF4-840B-D64C72FF5004}"/>
            </c:ext>
          </c:extLst>
        </c:ser>
        <c:ser>
          <c:idx val="3"/>
          <c:order val="3"/>
          <c:tx>
            <c:strRef>
              <c:f>'Data cleansing'!$F$32</c:f>
              <c:strCache>
                <c:ptCount val="1"/>
                <c:pt idx="0">
                  <c:v>Expotential smoothing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'Data cleansing'!$B$33:$B$76</c:f>
              <c:numCache>
                <c:formatCode>m/d/yyyy</c:formatCode>
                <c:ptCount val="4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</c:numCache>
            </c:numRef>
          </c:cat>
          <c:val>
            <c:numRef>
              <c:f>'Data cleansing'!$F$33:$F$76</c:f>
              <c:numCache>
                <c:formatCode>_(* #,##0.0_);_(* \(#,##0.0\);_(* "-"??_);_(@_)</c:formatCode>
                <c:ptCount val="44"/>
                <c:pt idx="0">
                  <c:v>33</c:v>
                </c:pt>
                <c:pt idx="1">
                  <c:v>12.299999999999999</c:v>
                </c:pt>
                <c:pt idx="2">
                  <c:v>30.209999999999997</c:v>
                </c:pt>
                <c:pt idx="3">
                  <c:v>28.046999999999997</c:v>
                </c:pt>
                <c:pt idx="4">
                  <c:v>-1.6671000000000049</c:v>
                </c:pt>
                <c:pt idx="5">
                  <c:v>-121.16697000000001</c:v>
                </c:pt>
                <c:pt idx="6">
                  <c:v>-110.016879</c:v>
                </c:pt>
                <c:pt idx="7">
                  <c:v>-80.311815299999992</c:v>
                </c:pt>
                <c:pt idx="8">
                  <c:v>-85.918270709999987</c:v>
                </c:pt>
                <c:pt idx="9">
                  <c:v>-56.842789496999991</c:v>
                </c:pt>
                <c:pt idx="10">
                  <c:v>-62.889952647899989</c:v>
                </c:pt>
                <c:pt idx="11">
                  <c:v>-26.322966853529987</c:v>
                </c:pt>
                <c:pt idx="12">
                  <c:v>-7.3260767974709911</c:v>
                </c:pt>
                <c:pt idx="13">
                  <c:v>10.771746241770305</c:v>
                </c:pt>
                <c:pt idx="14">
                  <c:v>8.7402223692392127</c:v>
                </c:pt>
                <c:pt idx="15">
                  <c:v>84.118155658467444</c:v>
                </c:pt>
                <c:pt idx="16">
                  <c:v>49.582708960927206</c:v>
                </c:pt>
                <c:pt idx="17">
                  <c:v>14.307896272649046</c:v>
                </c:pt>
                <c:pt idx="18">
                  <c:v>21.115527390854332</c:v>
                </c:pt>
                <c:pt idx="19">
                  <c:v>-11.01913082640197</c:v>
                </c:pt>
                <c:pt idx="20">
                  <c:v>-1.1133915784813784</c:v>
                </c:pt>
                <c:pt idx="21">
                  <c:v>95.220625895063037</c:v>
                </c:pt>
                <c:pt idx="22">
                  <c:v>60.654438126544122</c:v>
                </c:pt>
                <c:pt idx="23">
                  <c:v>44.258106688580881</c:v>
                </c:pt>
                <c:pt idx="24">
                  <c:v>43.280674682006612</c:v>
                </c:pt>
                <c:pt idx="25">
                  <c:v>55.796472277404625</c:v>
                </c:pt>
                <c:pt idx="26">
                  <c:v>55.857530594183231</c:v>
                </c:pt>
                <c:pt idx="27">
                  <c:v>109.30027141592826</c:v>
                </c:pt>
                <c:pt idx="28">
                  <c:v>101.71018999114979</c:v>
                </c:pt>
                <c:pt idx="29">
                  <c:v>88.297132993804837</c:v>
                </c:pt>
                <c:pt idx="30">
                  <c:v>67.207993095663383</c:v>
                </c:pt>
                <c:pt idx="31">
                  <c:v>70.445595166964367</c:v>
                </c:pt>
                <c:pt idx="32">
                  <c:v>31.011916616875052</c:v>
                </c:pt>
                <c:pt idx="33">
                  <c:v>46.008341631812534</c:v>
                </c:pt>
                <c:pt idx="34">
                  <c:v>53.805839142268766</c:v>
                </c:pt>
                <c:pt idx="35">
                  <c:v>65.564087399588132</c:v>
                </c:pt>
                <c:pt idx="36">
                  <c:v>34.794861179711688</c:v>
                </c:pt>
                <c:pt idx="37">
                  <c:v>42.656402825798182</c:v>
                </c:pt>
                <c:pt idx="38">
                  <c:v>31.659481978058725</c:v>
                </c:pt>
                <c:pt idx="39">
                  <c:v>52.161637384641111</c:v>
                </c:pt>
                <c:pt idx="40">
                  <c:v>-60.686853830751225</c:v>
                </c:pt>
                <c:pt idx="41">
                  <c:v>-14.880797681525859</c:v>
                </c:pt>
                <c:pt idx="42">
                  <c:v>0.68344162293189825</c:v>
                </c:pt>
                <c:pt idx="43">
                  <c:v>19.978409136052328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7C-4CF4-840B-D64C72FF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04824"/>
        <c:axId val="582404168"/>
      </c:lineChart>
      <c:dateAx>
        <c:axId val="582404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82404168"/>
        <c:crosses val="autoZero"/>
        <c:auto val="1"/>
        <c:lblOffset val="100"/>
        <c:baseTimeUnit val="months"/>
      </c:dateAx>
      <c:valAx>
        <c:axId val="58240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8240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24783766948753E-2"/>
          <c:y val="0.10233993887010909"/>
          <c:w val="0.88886118391248192"/>
          <c:h val="0.69153952693013199"/>
        </c:manualLayout>
      </c:layout>
      <c:lineChart>
        <c:grouping val="standard"/>
        <c:varyColors val="0"/>
        <c:ser>
          <c:idx val="0"/>
          <c:order val="0"/>
          <c:tx>
            <c:strRef>
              <c:f>Calibration!$D$10</c:f>
              <c:strCache>
                <c:ptCount val="1"/>
                <c:pt idx="0">
                  <c:v>Factual 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Calibration!$D$11:$D$21</c:f>
              <c:numCache>
                <c:formatCode>0.0%</c:formatCode>
                <c:ptCount val="11"/>
                <c:pt idx="0">
                  <c:v>0.02</c:v>
                </c:pt>
                <c:pt idx="1">
                  <c:v>0.04</c:v>
                </c:pt>
                <c:pt idx="2">
                  <c:v>0.01</c:v>
                </c:pt>
                <c:pt idx="3">
                  <c:v>0.05</c:v>
                </c:pt>
                <c:pt idx="4">
                  <c:v>0.03</c:v>
                </c:pt>
                <c:pt idx="5">
                  <c:v>0.09</c:v>
                </c:pt>
                <c:pt idx="6">
                  <c:v>7.0000000000000007E-2</c:v>
                </c:pt>
                <c:pt idx="7">
                  <c:v>0.12</c:v>
                </c:pt>
                <c:pt idx="8">
                  <c:v>0.17</c:v>
                </c:pt>
                <c:pt idx="9">
                  <c:v>0.36</c:v>
                </c:pt>
                <c:pt idx="10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5-487C-8781-57A31F7662A8}"/>
            </c:ext>
          </c:extLst>
        </c:ser>
        <c:ser>
          <c:idx val="1"/>
          <c:order val="1"/>
          <c:tx>
            <c:strRef>
              <c:f>Calibration!$E$10</c:f>
              <c:strCache>
                <c:ptCount val="1"/>
                <c:pt idx="0">
                  <c:v>PD after calibration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Calibration!$E$11:$E$21</c:f>
              <c:numCache>
                <c:formatCode>0.0%</c:formatCode>
                <c:ptCount val="11"/>
                <c:pt idx="0">
                  <c:v>3.2600372711438098E-2</c:v>
                </c:pt>
                <c:pt idx="1">
                  <c:v>4.1047282755081918E-2</c:v>
                </c:pt>
                <c:pt idx="2">
                  <c:v>5.1566164240396353E-2</c:v>
                </c:pt>
                <c:pt idx="3">
                  <c:v>6.4599054602426126E-2</c:v>
                </c:pt>
                <c:pt idx="4">
                  <c:v>8.0645806333892664E-2</c:v>
                </c:pt>
                <c:pt idx="5">
                  <c:v>0.10025144773420472</c:v>
                </c:pt>
                <c:pt idx="6">
                  <c:v>0.12398061402486669</c:v>
                </c:pt>
                <c:pt idx="7">
                  <c:v>0.15237520044455546</c:v>
                </c:pt>
                <c:pt idx="8">
                  <c:v>0.18589288060176121</c:v>
                </c:pt>
                <c:pt idx="9">
                  <c:v>0.22482778090739725</c:v>
                </c:pt>
                <c:pt idx="10">
                  <c:v>0.26922075949741486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5-487C-8781-57A31F766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016440"/>
        <c:axId val="663016768"/>
      </c:lineChart>
      <c:catAx>
        <c:axId val="66301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Ratings</a:t>
                </a:r>
              </a:p>
            </c:rich>
          </c:tx>
          <c:layout>
            <c:manualLayout>
              <c:xMode val="edge"/>
              <c:yMode val="edge"/>
              <c:x val="0.47198851602842345"/>
              <c:y val="0.8629787447563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63016768"/>
        <c:crosses val="autoZero"/>
        <c:auto val="1"/>
        <c:lblAlgn val="ctr"/>
        <c:lblOffset val="100"/>
        <c:noMultiLvlLbl val="0"/>
      </c:catAx>
      <c:valAx>
        <c:axId val="6630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97462886832214"/>
          <c:y val="0.93165786567178643"/>
          <c:w val="0.32005060913746808"/>
          <c:h val="6.1100628984609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5B60C929660753B2D410529201EEF98D.dms.sberbank.ru/5B60C929660753B2D410529201EEF98D-A3706015402A346BAE2C7E4161CEDD42-95C2986FA7A832638482DE2A6BD8A579/1.png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5B60C929660753B2D410529201EEF98D.dms.sberbank.ru/5B60C929660753B2D410529201EEF98D-A3706015402A346BAE2C7E4161CEDD42-95C2986FA7A832638482DE2A6BD8A579/1.png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5B60C929660753B2D410529201EEF98D.dms.sberbank.ru/5B60C929660753B2D410529201EEF98D-A3706015402A346BAE2C7E4161CEDD42-95C2986FA7A832638482DE2A6BD8A579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122463</xdr:colOff>
      <xdr:row>33</xdr:row>
      <xdr:rowOff>36286</xdr:rowOff>
    </xdr:from>
    <xdr:to>
      <xdr:col>18</xdr:col>
      <xdr:colOff>390071</xdr:colOff>
      <xdr:row>54</xdr:row>
      <xdr:rowOff>1815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5B60C929660753B2D410529201EEF98D.dms.sberbank.ru/5B60C929660753B2D410529201EEF98D-A3706015402A346BAE2C7E4161CEDD42-95C2986FA7A832638482DE2A6BD8A579/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298811</xdr:colOff>
      <xdr:row>10</xdr:row>
      <xdr:rowOff>48443</xdr:rowOff>
    </xdr:from>
    <xdr:to>
      <xdr:col>19</xdr:col>
      <xdr:colOff>371926</xdr:colOff>
      <xdr:row>29</xdr:row>
      <xdr:rowOff>108858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435428</xdr:colOff>
      <xdr:row>2</xdr:row>
      <xdr:rowOff>98127</xdr:rowOff>
    </xdr:from>
    <xdr:to>
      <xdr:col>16</xdr:col>
      <xdr:colOff>295094</xdr:colOff>
      <xdr:row>10</xdr:row>
      <xdr:rowOff>57287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8285" y="279556"/>
          <a:ext cx="5474880" cy="16010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1588</xdr:colOff>
      <xdr:row>1</xdr:row>
      <xdr:rowOff>1588</xdr:rowOff>
    </xdr:to>
    <xdr:pic>
      <xdr:nvPicPr>
        <xdr:cNvPr id="4" name="Рисунок 3" descr="http://5B60C929660753B2D410529201EEF98D.dms.sberbank.ru/5B60C929660753B2D410529201EEF98D-A3706015402A346BAE2C7E4161CEDD42-95C2986FA7A832638482DE2A6BD8A579/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1588</xdr:colOff>
      <xdr:row>3</xdr:row>
      <xdr:rowOff>1588</xdr:rowOff>
    </xdr:to>
    <xdr:pic>
      <xdr:nvPicPr>
        <xdr:cNvPr id="3" name="Рисунок 2" descr="http://5B60C929660753B2D410529201EEF98D.dms.sberbank.ru/5B60C929660753B2D410529201EEF98D-A3706015402A346BAE2C7E4161CEDD42-95C2986FA7A832638482DE2A6BD8A579/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2-11-02T09:14:29.18" personId="{00000000-0000-0000-0000-000000000000}" id="{38036989-5F8E-4857-AA8E-4D05A978A0CB}">
    <text>All defaults during December 2016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9"/>
  <sheetViews>
    <sheetView tabSelected="1" zoomScale="70" zoomScaleNormal="70" workbookViewId="0">
      <selection activeCell="J5" sqref="J5"/>
    </sheetView>
  </sheetViews>
  <sheetFormatPr defaultColWidth="8.77734375" defaultRowHeight="15" x14ac:dyDescent="0.25"/>
  <cols>
    <col min="1" max="1" width="8.77734375" style="1"/>
    <col min="2" max="2" width="12.33203125" style="1" customWidth="1"/>
    <col min="3" max="3" width="9.5546875" style="1" customWidth="1"/>
    <col min="4" max="4" width="16" style="9" customWidth="1"/>
    <col min="5" max="5" width="13.33203125" style="1" customWidth="1"/>
    <col min="6" max="6" width="12.5546875" style="1" customWidth="1"/>
    <col min="7" max="7" width="14.21875" style="1" customWidth="1"/>
    <col min="8" max="8" width="12.5546875" style="1" customWidth="1"/>
    <col min="9" max="9" width="15.88671875" style="1" customWidth="1"/>
    <col min="10" max="10" width="16" style="1" customWidth="1"/>
    <col min="11" max="11" width="12.21875" style="1" customWidth="1"/>
    <col min="12" max="12" width="19.88671875" style="1" customWidth="1"/>
    <col min="13" max="13" width="15.21875" style="1" customWidth="1"/>
    <col min="14" max="16384" width="8.77734375" style="1"/>
  </cols>
  <sheetData>
    <row r="2" spans="1:18" ht="15.6" x14ac:dyDescent="0.3">
      <c r="A2" s="1" t="s">
        <v>38</v>
      </c>
      <c r="B2" s="14" t="s">
        <v>22</v>
      </c>
    </row>
    <row r="3" spans="1:18" x14ac:dyDescent="0.25">
      <c r="G3" s="1">
        <f>_xlfn.FLOOR.MATH(D5*Q5,)</f>
        <v>2</v>
      </c>
      <c r="N3" s="1" t="s">
        <v>20</v>
      </c>
      <c r="O3" s="1" t="s">
        <v>20</v>
      </c>
      <c r="P3" s="1" t="s">
        <v>20</v>
      </c>
      <c r="Q3" s="1" t="s">
        <v>21</v>
      </c>
    </row>
    <row r="4" spans="1:18" s="2" customFormat="1" ht="45" x14ac:dyDescent="0.3">
      <c r="B4" s="2" t="s">
        <v>3</v>
      </c>
      <c r="C4" s="2" t="s">
        <v>4</v>
      </c>
      <c r="D4" s="10" t="s">
        <v>19</v>
      </c>
      <c r="E4" s="2" t="s">
        <v>37</v>
      </c>
      <c r="F4" s="2" t="s">
        <v>5</v>
      </c>
      <c r="G4" s="2" t="s">
        <v>6</v>
      </c>
      <c r="H4" s="2" t="s">
        <v>7</v>
      </c>
      <c r="I4" s="2" t="s">
        <v>8</v>
      </c>
      <c r="J4" s="20" t="s">
        <v>0</v>
      </c>
      <c r="K4" s="20" t="s">
        <v>1</v>
      </c>
      <c r="N4" s="2" t="s">
        <v>19</v>
      </c>
      <c r="O4" s="2" t="s">
        <v>5</v>
      </c>
      <c r="P4" s="2" t="s">
        <v>6</v>
      </c>
    </row>
    <row r="5" spans="1:18" x14ac:dyDescent="0.25">
      <c r="B5" s="1" t="s">
        <v>9</v>
      </c>
      <c r="C5" s="1">
        <v>1</v>
      </c>
      <c r="D5" s="11">
        <v>217</v>
      </c>
      <c r="E5" s="4">
        <f>D5/$D$14</f>
        <v>5.425E-2</v>
      </c>
      <c r="F5" s="11">
        <f t="shared" ref="F5:F13" si="0">D5-G5</f>
        <v>197</v>
      </c>
      <c r="G5" s="1">
        <v>20</v>
      </c>
      <c r="H5" s="4">
        <f t="shared" ref="H5:H13" si="1">F5/$F$14</f>
        <v>5.3795740032768977E-2</v>
      </c>
      <c r="I5" s="4">
        <f t="shared" ref="I5:I13" si="2">G5/$G$14</f>
        <v>5.9171597633136092E-2</v>
      </c>
      <c r="J5" s="6">
        <f>LN(H5/I5)</f>
        <v>-9.524737456743966E-2</v>
      </c>
      <c r="K5" s="7">
        <f>(H5-I5)*J5</f>
        <v>5.1203632248338397E-4</v>
      </c>
      <c r="N5" s="1">
        <v>217</v>
      </c>
      <c r="O5" s="1">
        <v>197</v>
      </c>
      <c r="P5" s="1">
        <v>20</v>
      </c>
      <c r="Q5" s="8">
        <v>0.01</v>
      </c>
      <c r="R5" s="1">
        <f>ROUNDDOWN(N5*Q5,0)</f>
        <v>2</v>
      </c>
    </row>
    <row r="6" spans="1:18" x14ac:dyDescent="0.25">
      <c r="B6" s="1" t="s">
        <v>10</v>
      </c>
      <c r="C6" s="1">
        <v>2</v>
      </c>
      <c r="D6" s="11">
        <v>484</v>
      </c>
      <c r="E6" s="4">
        <f t="shared" ref="E6:E13" si="3">D6/$D$14</f>
        <v>0.121</v>
      </c>
      <c r="F6" s="11">
        <f t="shared" si="0"/>
        <v>450</v>
      </c>
      <c r="G6" s="1">
        <v>34</v>
      </c>
      <c r="H6" s="4">
        <f t="shared" si="1"/>
        <v>0.12288367012561442</v>
      </c>
      <c r="I6" s="4">
        <f t="shared" si="2"/>
        <v>0.10059171597633136</v>
      </c>
      <c r="J6" s="6">
        <f t="shared" ref="J6:J13" si="4">LN(H6/I6)</f>
        <v>0.20016822839676676</v>
      </c>
      <c r="K6" s="7">
        <f t="shared" ref="K6:K13" si="5">(H6-I6)*J6</f>
        <v>4.4621409695639446E-3</v>
      </c>
      <c r="N6" s="1">
        <v>484</v>
      </c>
      <c r="O6" s="1">
        <v>450</v>
      </c>
      <c r="P6" s="1">
        <v>34</v>
      </c>
      <c r="Q6" s="8">
        <v>0.03</v>
      </c>
      <c r="R6" s="1">
        <f t="shared" ref="R6:R13" si="6">ROUNDDOWN(N6*Q6,0)</f>
        <v>14</v>
      </c>
    </row>
    <row r="7" spans="1:18" x14ac:dyDescent="0.25">
      <c r="B7" s="1" t="s">
        <v>11</v>
      </c>
      <c r="C7" s="1">
        <v>3</v>
      </c>
      <c r="D7" s="11">
        <v>531</v>
      </c>
      <c r="E7" s="4">
        <f t="shared" si="3"/>
        <v>0.13275000000000001</v>
      </c>
      <c r="F7" s="11">
        <f t="shared" si="0"/>
        <v>492</v>
      </c>
      <c r="G7" s="1">
        <v>39</v>
      </c>
      <c r="H7" s="4">
        <f t="shared" si="1"/>
        <v>0.13435281267067176</v>
      </c>
      <c r="I7" s="4">
        <f t="shared" si="2"/>
        <v>0.11538461538461539</v>
      </c>
      <c r="J7" s="6">
        <f t="shared" si="4"/>
        <v>0.15219824061122428</v>
      </c>
      <c r="K7" s="7">
        <f t="shared" si="5"/>
        <v>2.8869262545043782E-3</v>
      </c>
      <c r="N7" s="1">
        <v>531</v>
      </c>
      <c r="O7" s="1">
        <v>492</v>
      </c>
      <c r="P7" s="1">
        <v>39</v>
      </c>
      <c r="Q7" s="8">
        <v>0.05</v>
      </c>
      <c r="R7" s="1">
        <f t="shared" si="6"/>
        <v>26</v>
      </c>
    </row>
    <row r="8" spans="1:18" x14ac:dyDescent="0.25">
      <c r="B8" s="1" t="s">
        <v>12</v>
      </c>
      <c r="C8" s="1">
        <v>4</v>
      </c>
      <c r="D8" s="11">
        <v>648</v>
      </c>
      <c r="E8" s="4">
        <f t="shared" si="3"/>
        <v>0.16200000000000001</v>
      </c>
      <c r="F8" s="11">
        <f t="shared" si="0"/>
        <v>597</v>
      </c>
      <c r="G8" s="1">
        <v>51</v>
      </c>
      <c r="H8" s="4">
        <f t="shared" si="1"/>
        <v>0.16302566903331514</v>
      </c>
      <c r="I8" s="4">
        <f t="shared" si="2"/>
        <v>0.15088757396449703</v>
      </c>
      <c r="J8" s="6">
        <f t="shared" si="4"/>
        <v>7.7372650916839092E-2</v>
      </c>
      <c r="K8" s="7">
        <f t="shared" si="5"/>
        <v>9.3915659255506927E-4</v>
      </c>
      <c r="N8" s="1">
        <v>648</v>
      </c>
      <c r="O8" s="1">
        <v>597</v>
      </c>
      <c r="P8" s="1">
        <v>51</v>
      </c>
      <c r="Q8" s="8">
        <v>0.1</v>
      </c>
      <c r="R8" s="1">
        <f t="shared" si="6"/>
        <v>64</v>
      </c>
    </row>
    <row r="9" spans="1:18" x14ac:dyDescent="0.25">
      <c r="B9" s="1" t="s">
        <v>13</v>
      </c>
      <c r="C9" s="1">
        <v>5</v>
      </c>
      <c r="D9" s="11">
        <v>663</v>
      </c>
      <c r="E9" s="4">
        <f t="shared" si="3"/>
        <v>0.16575000000000001</v>
      </c>
      <c r="F9" s="11">
        <f t="shared" si="0"/>
        <v>609</v>
      </c>
      <c r="G9" s="1">
        <v>54</v>
      </c>
      <c r="H9" s="4">
        <f t="shared" si="1"/>
        <v>0.16630256690333151</v>
      </c>
      <c r="I9" s="4">
        <f t="shared" si="2"/>
        <v>0.15976331360946747</v>
      </c>
      <c r="J9" s="6">
        <f t="shared" si="4"/>
        <v>4.0115391394185289E-2</v>
      </c>
      <c r="K9" s="7">
        <f t="shared" si="5"/>
        <v>2.6232470530907127E-4</v>
      </c>
      <c r="N9" s="1">
        <v>663</v>
      </c>
      <c r="O9" s="1">
        <v>609</v>
      </c>
      <c r="P9" s="1">
        <v>54</v>
      </c>
      <c r="Q9" s="8">
        <v>0.2</v>
      </c>
      <c r="R9" s="1">
        <f t="shared" si="6"/>
        <v>132</v>
      </c>
    </row>
    <row r="10" spans="1:18" x14ac:dyDescent="0.25">
      <c r="B10" s="1" t="s">
        <v>14</v>
      </c>
      <c r="C10" s="1">
        <v>6</v>
      </c>
      <c r="D10" s="11">
        <v>637</v>
      </c>
      <c r="E10" s="4">
        <f t="shared" si="3"/>
        <v>0.15925</v>
      </c>
      <c r="F10" s="11">
        <f t="shared" si="0"/>
        <v>582</v>
      </c>
      <c r="G10" s="1">
        <v>55</v>
      </c>
      <c r="H10" s="4">
        <f t="shared" si="1"/>
        <v>0.15892954669579465</v>
      </c>
      <c r="I10" s="4">
        <f t="shared" si="2"/>
        <v>0.16272189349112426</v>
      </c>
      <c r="J10" s="6">
        <f t="shared" si="4"/>
        <v>-2.3581567252470285E-2</v>
      </c>
      <c r="K10" s="7">
        <f t="shared" si="5"/>
        <v>8.9429480998755352E-5</v>
      </c>
      <c r="N10" s="1">
        <v>637</v>
      </c>
      <c r="O10" s="1">
        <v>582</v>
      </c>
      <c r="P10" s="1">
        <v>55</v>
      </c>
      <c r="Q10" s="8">
        <v>0.45</v>
      </c>
      <c r="R10" s="1">
        <f t="shared" si="6"/>
        <v>286</v>
      </c>
    </row>
    <row r="11" spans="1:18" x14ac:dyDescent="0.25">
      <c r="B11" s="1" t="s">
        <v>15</v>
      </c>
      <c r="C11" s="1">
        <v>7</v>
      </c>
      <c r="D11" s="11">
        <v>427</v>
      </c>
      <c r="E11" s="4">
        <f t="shared" si="3"/>
        <v>0.10675</v>
      </c>
      <c r="F11" s="11">
        <f t="shared" si="0"/>
        <v>386</v>
      </c>
      <c r="G11" s="1">
        <v>41</v>
      </c>
      <c r="H11" s="4">
        <f t="shared" si="1"/>
        <v>0.10540688148552703</v>
      </c>
      <c r="I11" s="4">
        <f t="shared" si="2"/>
        <v>0.12130177514792899</v>
      </c>
      <c r="J11" s="6">
        <f t="shared" si="4"/>
        <v>-0.14045352699091415</v>
      </c>
      <c r="K11" s="7">
        <f t="shared" si="5"/>
        <v>2.2324938760298839E-3</v>
      </c>
      <c r="N11" s="1">
        <v>427</v>
      </c>
      <c r="O11" s="1">
        <v>386</v>
      </c>
      <c r="P11" s="1">
        <v>41</v>
      </c>
      <c r="Q11" s="8">
        <v>0.6</v>
      </c>
      <c r="R11" s="1">
        <f t="shared" si="6"/>
        <v>256</v>
      </c>
    </row>
    <row r="12" spans="1:18" x14ac:dyDescent="0.25">
      <c r="B12" s="1" t="s">
        <v>16</v>
      </c>
      <c r="C12" s="1">
        <v>8</v>
      </c>
      <c r="D12" s="11">
        <v>188</v>
      </c>
      <c r="E12" s="4">
        <f t="shared" si="3"/>
        <v>4.7E-2</v>
      </c>
      <c r="F12" s="11">
        <f t="shared" si="0"/>
        <v>165</v>
      </c>
      <c r="G12" s="1">
        <v>23</v>
      </c>
      <c r="H12" s="4">
        <f t="shared" si="1"/>
        <v>4.5057345712725287E-2</v>
      </c>
      <c r="I12" s="4">
        <f t="shared" si="2"/>
        <v>6.8047337278106509E-2</v>
      </c>
      <c r="J12" s="6">
        <f t="shared" si="4"/>
        <v>-0.41226757178000639</v>
      </c>
      <c r="K12" s="7">
        <f t="shared" si="5"/>
        <v>9.4780279979025453E-3</v>
      </c>
      <c r="N12" s="1">
        <v>188</v>
      </c>
      <c r="O12" s="1">
        <v>165</v>
      </c>
      <c r="P12" s="1">
        <v>23</v>
      </c>
      <c r="Q12" s="8">
        <v>0.8</v>
      </c>
      <c r="R12" s="1">
        <f t="shared" si="6"/>
        <v>150</v>
      </c>
    </row>
    <row r="13" spans="1:18" x14ac:dyDescent="0.25">
      <c r="B13" s="1" t="s">
        <v>17</v>
      </c>
      <c r="C13" s="1">
        <v>9</v>
      </c>
      <c r="D13" s="11">
        <v>205</v>
      </c>
      <c r="E13" s="4">
        <f t="shared" si="3"/>
        <v>5.1249999999999997E-2</v>
      </c>
      <c r="F13" s="11">
        <f t="shared" si="0"/>
        <v>184</v>
      </c>
      <c r="G13" s="1">
        <v>21</v>
      </c>
      <c r="H13" s="4">
        <f t="shared" si="1"/>
        <v>5.0245767340251227E-2</v>
      </c>
      <c r="I13" s="4">
        <f t="shared" si="2"/>
        <v>6.2130177514792898E-2</v>
      </c>
      <c r="J13" s="6">
        <f t="shared" si="4"/>
        <v>-0.21230550986587463</v>
      </c>
      <c r="K13" s="7">
        <f t="shared" si="5"/>
        <v>2.5231257615612574E-3</v>
      </c>
      <c r="N13" s="1">
        <v>205</v>
      </c>
      <c r="O13" s="1">
        <v>184</v>
      </c>
      <c r="P13" s="1">
        <v>21</v>
      </c>
      <c r="Q13" s="8">
        <v>0.99</v>
      </c>
      <c r="R13" s="1">
        <f t="shared" si="6"/>
        <v>202</v>
      </c>
    </row>
    <row r="14" spans="1:18" x14ac:dyDescent="0.25">
      <c r="B14" s="1" t="s">
        <v>18</v>
      </c>
      <c r="D14" s="9">
        <f>SUM(D5:D13)</f>
        <v>4000</v>
      </c>
      <c r="F14" s="1">
        <f>SUM(F5:F13)</f>
        <v>3662</v>
      </c>
      <c r="G14" s="1">
        <f>SUM(G5:G13)</f>
        <v>338</v>
      </c>
      <c r="H14" s="4">
        <f>SUM(H5:H13)</f>
        <v>1</v>
      </c>
      <c r="I14" s="4">
        <f>SUM(I5:I13)</f>
        <v>0.99999999999999989</v>
      </c>
      <c r="J14" s="6"/>
      <c r="K14" s="7">
        <f>SUM(K5:K13)</f>
        <v>2.3385661960908289E-2</v>
      </c>
    </row>
    <row r="15" spans="1:18" x14ac:dyDescent="0.25">
      <c r="I15" s="6"/>
    </row>
    <row r="16" spans="1:18" ht="15.6" x14ac:dyDescent="0.3">
      <c r="A16" s="1" t="s">
        <v>38</v>
      </c>
      <c r="B16" s="14" t="s">
        <v>2</v>
      </c>
    </row>
    <row r="18" spans="1:13" s="12" customFormat="1" ht="30" x14ac:dyDescent="0.25">
      <c r="B18" s="2" t="s">
        <v>3</v>
      </c>
      <c r="C18" s="2" t="s">
        <v>4</v>
      </c>
      <c r="D18" s="10" t="s">
        <v>19</v>
      </c>
      <c r="E18" s="2" t="s">
        <v>5</v>
      </c>
      <c r="F18" s="2" t="s">
        <v>6</v>
      </c>
      <c r="G18" s="12" t="s">
        <v>27</v>
      </c>
      <c r="H18" s="12" t="s">
        <v>23</v>
      </c>
      <c r="I18" s="12" t="s">
        <v>25</v>
      </c>
      <c r="J18" s="12" t="s">
        <v>26</v>
      </c>
    </row>
    <row r="19" spans="1:13" x14ac:dyDescent="0.25">
      <c r="B19" s="1" t="s">
        <v>9</v>
      </c>
      <c r="C19" s="1">
        <v>1</v>
      </c>
      <c r="D19" s="11">
        <f>SUM(E19:F19)</f>
        <v>217</v>
      </c>
      <c r="E19" s="11">
        <f t="shared" ref="E19:F27" si="7">F5</f>
        <v>197</v>
      </c>
      <c r="F19" s="11">
        <f t="shared" si="7"/>
        <v>20</v>
      </c>
      <c r="G19" s="3">
        <f>F19/SUM(E19:F19)</f>
        <v>9.2165898617511524E-2</v>
      </c>
      <c r="H19" s="3">
        <f>E19/SUM(E19:F19)</f>
        <v>0.90783410138248843</v>
      </c>
      <c r="I19" s="1">
        <f>F19/E19</f>
        <v>0.10152284263959391</v>
      </c>
      <c r="J19" s="13">
        <f t="shared" ref="J19:J27" si="8">LN(G19/H19)</f>
        <v>-2.2874714551839972</v>
      </c>
    </row>
    <row r="20" spans="1:13" x14ac:dyDescent="0.25">
      <c r="B20" s="1" t="s">
        <v>10</v>
      </c>
      <c r="C20" s="1">
        <v>2</v>
      </c>
      <c r="D20" s="11">
        <f t="shared" ref="D20:D27" si="9">SUM(E20:F20)</f>
        <v>484</v>
      </c>
      <c r="E20" s="11">
        <f t="shared" si="7"/>
        <v>450</v>
      </c>
      <c r="F20" s="11">
        <f t="shared" si="7"/>
        <v>34</v>
      </c>
      <c r="G20" s="3">
        <f t="shared" ref="G20:G27" si="10">F20/SUM(E20:F20)</f>
        <v>7.0247933884297523E-2</v>
      </c>
      <c r="H20" s="3">
        <f t="shared" ref="H20:H27" si="11">E20/SUM(E20:F20)</f>
        <v>0.92975206611570249</v>
      </c>
      <c r="I20" s="1">
        <f t="shared" ref="I20:I27" si="12">F20/E20</f>
        <v>7.5555555555555556E-2</v>
      </c>
      <c r="J20" s="13">
        <f t="shared" si="8"/>
        <v>-2.582887058148204</v>
      </c>
    </row>
    <row r="21" spans="1:13" x14ac:dyDescent="0.25">
      <c r="B21" s="1" t="s">
        <v>11</v>
      </c>
      <c r="C21" s="1">
        <v>3</v>
      </c>
      <c r="D21" s="11">
        <f t="shared" si="9"/>
        <v>531</v>
      </c>
      <c r="E21" s="11">
        <f t="shared" si="7"/>
        <v>492</v>
      </c>
      <c r="F21" s="11">
        <f t="shared" si="7"/>
        <v>39</v>
      </c>
      <c r="G21" s="3">
        <f t="shared" si="10"/>
        <v>7.3446327683615822E-2</v>
      </c>
      <c r="H21" s="3">
        <f t="shared" si="11"/>
        <v>0.92655367231638419</v>
      </c>
      <c r="I21" s="1">
        <f t="shared" si="12"/>
        <v>7.926829268292683E-2</v>
      </c>
      <c r="J21" s="13">
        <f t="shared" si="8"/>
        <v>-2.5349170703626616</v>
      </c>
    </row>
    <row r="22" spans="1:13" x14ac:dyDescent="0.25">
      <c r="B22" s="1" t="s">
        <v>12</v>
      </c>
      <c r="C22" s="1">
        <v>4</v>
      </c>
      <c r="D22" s="11">
        <f t="shared" si="9"/>
        <v>648</v>
      </c>
      <c r="E22" s="11">
        <f t="shared" si="7"/>
        <v>597</v>
      </c>
      <c r="F22" s="11">
        <f t="shared" si="7"/>
        <v>51</v>
      </c>
      <c r="G22" s="3">
        <f t="shared" si="10"/>
        <v>7.8703703703703706E-2</v>
      </c>
      <c r="H22" s="3">
        <f t="shared" si="11"/>
        <v>0.92129629629629628</v>
      </c>
      <c r="I22" s="1">
        <f t="shared" si="12"/>
        <v>8.5427135678391955E-2</v>
      </c>
      <c r="J22" s="13">
        <f t="shared" si="8"/>
        <v>-2.4600914806682761</v>
      </c>
    </row>
    <row r="23" spans="1:13" x14ac:dyDescent="0.25">
      <c r="B23" s="1" t="s">
        <v>13</v>
      </c>
      <c r="C23" s="1">
        <v>5</v>
      </c>
      <c r="D23" s="11">
        <f t="shared" si="9"/>
        <v>663</v>
      </c>
      <c r="E23" s="11">
        <f t="shared" si="7"/>
        <v>609</v>
      </c>
      <c r="F23" s="11">
        <f t="shared" si="7"/>
        <v>54</v>
      </c>
      <c r="G23" s="3">
        <f t="shared" si="10"/>
        <v>8.1447963800904979E-2</v>
      </c>
      <c r="H23" s="3">
        <f t="shared" si="11"/>
        <v>0.91855203619909498</v>
      </c>
      <c r="I23" s="1">
        <f t="shared" si="12"/>
        <v>8.8669950738916259E-2</v>
      </c>
      <c r="J23" s="13">
        <f t="shared" si="8"/>
        <v>-2.4228342211456226</v>
      </c>
    </row>
    <row r="24" spans="1:13" x14ac:dyDescent="0.25">
      <c r="B24" s="1" t="s">
        <v>14</v>
      </c>
      <c r="C24" s="1">
        <v>6</v>
      </c>
      <c r="D24" s="11">
        <f t="shared" si="9"/>
        <v>637</v>
      </c>
      <c r="E24" s="11">
        <f t="shared" si="7"/>
        <v>582</v>
      </c>
      <c r="F24" s="11">
        <f t="shared" si="7"/>
        <v>55</v>
      </c>
      <c r="G24" s="3">
        <f t="shared" si="10"/>
        <v>8.6342229199372053E-2</v>
      </c>
      <c r="H24" s="3">
        <f t="shared" si="11"/>
        <v>0.91365777080062793</v>
      </c>
      <c r="I24" s="1">
        <f t="shared" si="12"/>
        <v>9.4501718213058417E-2</v>
      </c>
      <c r="J24" s="13">
        <f t="shared" si="8"/>
        <v>-2.359137262498967</v>
      </c>
    </row>
    <row r="25" spans="1:13" x14ac:dyDescent="0.25">
      <c r="B25" s="1" t="s">
        <v>15</v>
      </c>
      <c r="C25" s="1">
        <v>7</v>
      </c>
      <c r="D25" s="11">
        <f t="shared" si="9"/>
        <v>427</v>
      </c>
      <c r="E25" s="11">
        <f t="shared" si="7"/>
        <v>386</v>
      </c>
      <c r="F25" s="11">
        <f t="shared" si="7"/>
        <v>41</v>
      </c>
      <c r="G25" s="3">
        <f t="shared" si="10"/>
        <v>9.6018735362997654E-2</v>
      </c>
      <c r="H25" s="3">
        <f t="shared" si="11"/>
        <v>0.90398126463700235</v>
      </c>
      <c r="I25" s="1">
        <f t="shared" si="12"/>
        <v>0.10621761658031088</v>
      </c>
      <c r="J25" s="13">
        <f t="shared" si="8"/>
        <v>-2.242265302760523</v>
      </c>
    </row>
    <row r="26" spans="1:13" x14ac:dyDescent="0.25">
      <c r="B26" s="1" t="s">
        <v>16</v>
      </c>
      <c r="C26" s="1">
        <v>8</v>
      </c>
      <c r="D26" s="11">
        <f t="shared" si="9"/>
        <v>188</v>
      </c>
      <c r="E26" s="11">
        <f t="shared" si="7"/>
        <v>165</v>
      </c>
      <c r="F26" s="11">
        <f t="shared" si="7"/>
        <v>23</v>
      </c>
      <c r="G26" s="3">
        <f t="shared" si="10"/>
        <v>0.12234042553191489</v>
      </c>
      <c r="H26" s="3">
        <f t="shared" si="11"/>
        <v>0.87765957446808507</v>
      </c>
      <c r="I26" s="1">
        <f t="shared" si="12"/>
        <v>0.1393939393939394</v>
      </c>
      <c r="J26" s="13">
        <f t="shared" si="8"/>
        <v>-1.9704512579714308</v>
      </c>
    </row>
    <row r="27" spans="1:13" x14ac:dyDescent="0.25">
      <c r="B27" s="1" t="s">
        <v>17</v>
      </c>
      <c r="C27" s="1">
        <v>9</v>
      </c>
      <c r="D27" s="11">
        <f t="shared" si="9"/>
        <v>205</v>
      </c>
      <c r="E27" s="11">
        <f t="shared" si="7"/>
        <v>184</v>
      </c>
      <c r="F27" s="11">
        <f t="shared" si="7"/>
        <v>21</v>
      </c>
      <c r="G27" s="3">
        <f t="shared" si="10"/>
        <v>0.1024390243902439</v>
      </c>
      <c r="H27" s="3">
        <f t="shared" si="11"/>
        <v>0.89756097560975612</v>
      </c>
      <c r="I27" s="1">
        <f t="shared" si="12"/>
        <v>0.11413043478260869</v>
      </c>
      <c r="J27" s="13">
        <f t="shared" si="8"/>
        <v>-2.1704133198855629</v>
      </c>
    </row>
    <row r="28" spans="1:13" x14ac:dyDescent="0.25">
      <c r="B28" s="1" t="s">
        <v>18</v>
      </c>
      <c r="E28" s="1">
        <f>SUM(E19:E27)</f>
        <v>3662</v>
      </c>
      <c r="F28" s="1">
        <f>SUM(F19:F27)</f>
        <v>338</v>
      </c>
      <c r="I28" s="13"/>
    </row>
    <row r="30" spans="1:13" ht="30.6" x14ac:dyDescent="0.3">
      <c r="A30" s="1" t="s">
        <v>38</v>
      </c>
      <c r="B30" s="14" t="s">
        <v>24</v>
      </c>
      <c r="E30" s="1" t="s">
        <v>36</v>
      </c>
      <c r="F30" s="1">
        <v>0.3</v>
      </c>
      <c r="J30" s="12" t="s">
        <v>30</v>
      </c>
      <c r="K30" s="18" t="s">
        <v>35</v>
      </c>
      <c r="L30" s="12" t="s">
        <v>33</v>
      </c>
      <c r="M30" s="12" t="s">
        <v>32</v>
      </c>
    </row>
    <row r="31" spans="1:13" x14ac:dyDescent="0.25">
      <c r="I31" s="1" t="s">
        <v>29</v>
      </c>
      <c r="J31" s="6">
        <f ca="1">AVERAGE(C33:C76)</f>
        <v>18</v>
      </c>
      <c r="K31" s="6">
        <f ca="1">AVERAGE(D33:D76)</f>
        <v>18</v>
      </c>
      <c r="L31" s="6">
        <f t="shared" ref="L31:M31" ca="1" si="13">AVERAGE(E33:E76)</f>
        <v>17.843181818181826</v>
      </c>
      <c r="M31" s="6">
        <f t="shared" ca="1" si="13"/>
        <v>18.690538909451764</v>
      </c>
    </row>
    <row r="32" spans="1:13" s="12" customFormat="1" ht="45" x14ac:dyDescent="0.25">
      <c r="B32" s="12" t="s">
        <v>34</v>
      </c>
      <c r="C32" s="12" t="s">
        <v>28</v>
      </c>
      <c r="D32" s="18" t="s">
        <v>35</v>
      </c>
      <c r="E32" s="12" t="s">
        <v>33</v>
      </c>
      <c r="F32" s="12" t="s">
        <v>32</v>
      </c>
      <c r="I32" s="12" t="s">
        <v>31</v>
      </c>
      <c r="J32" s="19">
        <f ca="1">_xlfn.STDEV.S(C33:C76)</f>
        <v>119.75187525841496</v>
      </c>
      <c r="K32" s="19">
        <f ca="1">_xlfn.STDEV.S(D33:D76)</f>
        <v>54.672385785164529</v>
      </c>
      <c r="L32" s="19">
        <f t="shared" ref="L32:M32" ca="1" si="14">_xlfn.STDEV.S(E33:E76)</f>
        <v>58.697412477050968</v>
      </c>
      <c r="M32" s="19">
        <f t="shared" ca="1" si="14"/>
        <v>55.053806336285184</v>
      </c>
    </row>
    <row r="33" spans="2:6" x14ac:dyDescent="0.25">
      <c r="B33" s="15">
        <v>44562</v>
      </c>
      <c r="C33" s="1">
        <f ca="1">RANDBETWEEN(-100,100)</f>
        <v>33</v>
      </c>
      <c r="D33" s="9">
        <f ca="1">C33</f>
        <v>33</v>
      </c>
      <c r="E33" s="1">
        <f ca="1">AVERAGE($C$33:C33)</f>
        <v>33</v>
      </c>
      <c r="F33" s="5">
        <f ca="1">C33</f>
        <v>33</v>
      </c>
    </row>
    <row r="34" spans="2:6" x14ac:dyDescent="0.25">
      <c r="B34" s="15">
        <v>44593</v>
      </c>
      <c r="C34" s="1">
        <f t="shared" ref="C34:C76" ca="1" si="15">RANDBETWEEN(-100,100)</f>
        <v>-36</v>
      </c>
      <c r="D34" s="9">
        <f t="shared" ref="D34:D76" ca="1" si="16">C34</f>
        <v>-36</v>
      </c>
      <c r="E34" s="1">
        <f ca="1">AVERAGE($C$33:C34)</f>
        <v>-1.5</v>
      </c>
      <c r="F34" s="5">
        <f ca="1">C34*($F$30)+F33*(1-$F$30)</f>
        <v>12.299999999999999</v>
      </c>
    </row>
    <row r="35" spans="2:6" x14ac:dyDescent="0.25">
      <c r="B35" s="15">
        <v>44621</v>
      </c>
      <c r="C35" s="1">
        <f t="shared" ca="1" si="15"/>
        <v>72</v>
      </c>
      <c r="D35" s="9">
        <f t="shared" ca="1" si="16"/>
        <v>72</v>
      </c>
      <c r="E35" s="1">
        <f ca="1">AVERAGE($C$33:C35)</f>
        <v>23</v>
      </c>
      <c r="F35" s="5">
        <f t="shared" ref="F35:F76" ca="1" si="17">C35*($F$30)+F34*(1-$F$30)</f>
        <v>30.209999999999997</v>
      </c>
    </row>
    <row r="36" spans="2:6" x14ac:dyDescent="0.25">
      <c r="B36" s="15">
        <v>44652</v>
      </c>
      <c r="C36" s="1">
        <f t="shared" ca="1" si="15"/>
        <v>23</v>
      </c>
      <c r="D36" s="9">
        <f t="shared" ca="1" si="16"/>
        <v>23</v>
      </c>
      <c r="E36" s="1">
        <f ca="1">AVERAGE($C$33:C36)</f>
        <v>23</v>
      </c>
      <c r="F36" s="5">
        <f t="shared" ca="1" si="17"/>
        <v>28.046999999999997</v>
      </c>
    </row>
    <row r="37" spans="2:6" x14ac:dyDescent="0.25">
      <c r="B37" s="15">
        <v>44682</v>
      </c>
      <c r="C37" s="1">
        <f t="shared" ca="1" si="15"/>
        <v>-71</v>
      </c>
      <c r="D37" s="9">
        <f t="shared" ca="1" si="16"/>
        <v>-71</v>
      </c>
      <c r="E37" s="1">
        <f ca="1">AVERAGE($C$33:C37)</f>
        <v>4.2</v>
      </c>
      <c r="F37" s="5">
        <f t="shared" ca="1" si="17"/>
        <v>-1.6671000000000049</v>
      </c>
    </row>
    <row r="38" spans="2:6" s="16" customFormat="1" x14ac:dyDescent="0.25">
      <c r="B38" s="17">
        <v>44713</v>
      </c>
      <c r="C38" s="16">
        <v>-400</v>
      </c>
      <c r="D38" s="9">
        <f ca="1">AVERAGE($C$33:$C$37,$C$39:$C$47,$C$49:$C$53,$C$55:$C$59,$C$61:$C$72,$C$74:$C$76)</f>
        <v>18</v>
      </c>
      <c r="E38" s="1">
        <f t="shared" ref="E38:E76" ca="1" si="18">AVERAGE(C34:C38)</f>
        <v>-82.4</v>
      </c>
      <c r="F38" s="5">
        <f t="shared" ca="1" si="17"/>
        <v>-121.16697000000001</v>
      </c>
    </row>
    <row r="39" spans="2:6" x14ac:dyDescent="0.25">
      <c r="B39" s="15">
        <v>44743</v>
      </c>
      <c r="C39" s="1">
        <f t="shared" ca="1" si="15"/>
        <v>-84</v>
      </c>
      <c r="D39" s="9">
        <f t="shared" ca="1" si="16"/>
        <v>-84</v>
      </c>
      <c r="E39" s="1">
        <f t="shared" ca="1" si="18"/>
        <v>-92</v>
      </c>
      <c r="F39" s="5">
        <f t="shared" ca="1" si="17"/>
        <v>-110.016879</v>
      </c>
    </row>
    <row r="40" spans="2:6" x14ac:dyDescent="0.25">
      <c r="B40" s="15">
        <v>44774</v>
      </c>
      <c r="C40" s="1">
        <f t="shared" ca="1" si="15"/>
        <v>-11</v>
      </c>
      <c r="D40" s="9">
        <f t="shared" ca="1" si="16"/>
        <v>-11</v>
      </c>
      <c r="E40" s="1">
        <f t="shared" ca="1" si="18"/>
        <v>-108.6</v>
      </c>
      <c r="F40" s="5">
        <f t="shared" ca="1" si="17"/>
        <v>-80.311815299999992</v>
      </c>
    </row>
    <row r="41" spans="2:6" x14ac:dyDescent="0.25">
      <c r="B41" s="15">
        <v>44805</v>
      </c>
      <c r="C41" s="1">
        <f t="shared" ca="1" si="15"/>
        <v>-99</v>
      </c>
      <c r="D41" s="9">
        <f t="shared" ca="1" si="16"/>
        <v>-99</v>
      </c>
      <c r="E41" s="1">
        <f t="shared" ca="1" si="18"/>
        <v>-133</v>
      </c>
      <c r="F41" s="5">
        <f t="shared" ca="1" si="17"/>
        <v>-85.918270709999987</v>
      </c>
    </row>
    <row r="42" spans="2:6" x14ac:dyDescent="0.25">
      <c r="B42" s="15">
        <v>44835</v>
      </c>
      <c r="C42" s="1">
        <f t="shared" ca="1" si="15"/>
        <v>11</v>
      </c>
      <c r="D42" s="9">
        <f t="shared" ca="1" si="16"/>
        <v>11</v>
      </c>
      <c r="E42" s="1">
        <f t="shared" ca="1" si="18"/>
        <v>-116.6</v>
      </c>
      <c r="F42" s="5">
        <f t="shared" ca="1" si="17"/>
        <v>-56.842789496999991</v>
      </c>
    </row>
    <row r="43" spans="2:6" x14ac:dyDescent="0.25">
      <c r="B43" s="15">
        <v>44866</v>
      </c>
      <c r="C43" s="1">
        <f t="shared" ca="1" si="15"/>
        <v>-77</v>
      </c>
      <c r="D43" s="9">
        <f t="shared" ca="1" si="16"/>
        <v>-77</v>
      </c>
      <c r="E43" s="1">
        <f t="shared" ca="1" si="18"/>
        <v>-52</v>
      </c>
      <c r="F43" s="5">
        <f t="shared" ca="1" si="17"/>
        <v>-62.889952647899989</v>
      </c>
    </row>
    <row r="44" spans="2:6" x14ac:dyDescent="0.25">
      <c r="B44" s="15">
        <v>44896</v>
      </c>
      <c r="C44" s="1">
        <f t="shared" ca="1" si="15"/>
        <v>59</v>
      </c>
      <c r="D44" s="9">
        <f t="shared" ca="1" si="16"/>
        <v>59</v>
      </c>
      <c r="E44" s="1">
        <f t="shared" ca="1" si="18"/>
        <v>-23.4</v>
      </c>
      <c r="F44" s="5">
        <f t="shared" ca="1" si="17"/>
        <v>-26.322966853529987</v>
      </c>
    </row>
    <row r="45" spans="2:6" x14ac:dyDescent="0.25">
      <c r="B45" s="15">
        <v>44927</v>
      </c>
      <c r="C45" s="1">
        <f t="shared" ca="1" si="15"/>
        <v>37</v>
      </c>
      <c r="D45" s="9">
        <f t="shared" ca="1" si="16"/>
        <v>37</v>
      </c>
      <c r="E45" s="1">
        <f t="shared" ca="1" si="18"/>
        <v>-13.8</v>
      </c>
      <c r="F45" s="5">
        <f t="shared" ca="1" si="17"/>
        <v>-7.3260767974709911</v>
      </c>
    </row>
    <row r="46" spans="2:6" x14ac:dyDescent="0.25">
      <c r="B46" s="15">
        <v>44958</v>
      </c>
      <c r="C46" s="1">
        <f t="shared" ca="1" si="15"/>
        <v>53</v>
      </c>
      <c r="D46" s="9">
        <f t="shared" ca="1" si="16"/>
        <v>53</v>
      </c>
      <c r="E46" s="1">
        <f t="shared" ca="1" si="18"/>
        <v>16.600000000000001</v>
      </c>
      <c r="F46" s="5">
        <f t="shared" ca="1" si="17"/>
        <v>10.771746241770305</v>
      </c>
    </row>
    <row r="47" spans="2:6" x14ac:dyDescent="0.25">
      <c r="B47" s="15">
        <v>44986</v>
      </c>
      <c r="C47" s="1">
        <f t="shared" ca="1" si="15"/>
        <v>4</v>
      </c>
      <c r="D47" s="9">
        <f t="shared" ca="1" si="16"/>
        <v>4</v>
      </c>
      <c r="E47" s="1">
        <f t="shared" ca="1" si="18"/>
        <v>15.2</v>
      </c>
      <c r="F47" s="5">
        <f t="shared" ca="1" si="17"/>
        <v>8.7402223692392127</v>
      </c>
    </row>
    <row r="48" spans="2:6" s="16" customFormat="1" x14ac:dyDescent="0.25">
      <c r="B48" s="17">
        <v>45017</v>
      </c>
      <c r="C48" s="16">
        <v>260</v>
      </c>
      <c r="D48" s="9">
        <f ca="1">AVERAGE($C$33:$C$37,$C$39:$C$47,$C$49:$C$53,$C$55:$C$59,$C$61:$C$72,$C$74:$C$76)</f>
        <v>18</v>
      </c>
      <c r="E48" s="1">
        <f t="shared" ca="1" si="18"/>
        <v>82.6</v>
      </c>
      <c r="F48" s="5">
        <f t="shared" ca="1" si="17"/>
        <v>84.118155658467444</v>
      </c>
    </row>
    <row r="49" spans="2:6" x14ac:dyDescent="0.25">
      <c r="B49" s="15">
        <v>45047</v>
      </c>
      <c r="C49" s="1">
        <f t="shared" ca="1" si="15"/>
        <v>-31</v>
      </c>
      <c r="D49" s="9">
        <f t="shared" ca="1" si="16"/>
        <v>-31</v>
      </c>
      <c r="E49" s="1">
        <f t="shared" ca="1" si="18"/>
        <v>64.599999999999994</v>
      </c>
      <c r="F49" s="5">
        <f t="shared" ca="1" si="17"/>
        <v>49.582708960927206</v>
      </c>
    </row>
    <row r="50" spans="2:6" x14ac:dyDescent="0.25">
      <c r="B50" s="15">
        <v>45078</v>
      </c>
      <c r="C50" s="1">
        <f t="shared" ca="1" si="15"/>
        <v>-68</v>
      </c>
      <c r="D50" s="9">
        <f t="shared" ca="1" si="16"/>
        <v>-68</v>
      </c>
      <c r="E50" s="1">
        <f t="shared" ca="1" si="18"/>
        <v>43.6</v>
      </c>
      <c r="F50" s="5">
        <f t="shared" ca="1" si="17"/>
        <v>14.307896272649046</v>
      </c>
    </row>
    <row r="51" spans="2:6" x14ac:dyDescent="0.25">
      <c r="B51" s="15">
        <v>45108</v>
      </c>
      <c r="C51" s="1">
        <f t="shared" ca="1" si="15"/>
        <v>37</v>
      </c>
      <c r="D51" s="9">
        <f t="shared" ca="1" si="16"/>
        <v>37</v>
      </c>
      <c r="E51" s="1">
        <f t="shared" ca="1" si="18"/>
        <v>40.4</v>
      </c>
      <c r="F51" s="5">
        <f t="shared" ca="1" si="17"/>
        <v>21.115527390854332</v>
      </c>
    </row>
    <row r="52" spans="2:6" x14ac:dyDescent="0.25">
      <c r="B52" s="15">
        <v>45139</v>
      </c>
      <c r="C52" s="1">
        <f t="shared" ca="1" si="15"/>
        <v>-86</v>
      </c>
      <c r="D52" s="9">
        <f t="shared" ca="1" si="16"/>
        <v>-86</v>
      </c>
      <c r="E52" s="1">
        <f t="shared" ca="1" si="18"/>
        <v>22.4</v>
      </c>
      <c r="F52" s="5">
        <f t="shared" ca="1" si="17"/>
        <v>-11.01913082640197</v>
      </c>
    </row>
    <row r="53" spans="2:6" x14ac:dyDescent="0.25">
      <c r="B53" s="15">
        <v>45170</v>
      </c>
      <c r="C53" s="1">
        <f t="shared" ca="1" si="15"/>
        <v>22</v>
      </c>
      <c r="D53" s="9">
        <f t="shared" ca="1" si="16"/>
        <v>22</v>
      </c>
      <c r="E53" s="1">
        <f t="shared" ca="1" si="18"/>
        <v>-25.2</v>
      </c>
      <c r="F53" s="5">
        <f t="shared" ca="1" si="17"/>
        <v>-1.1133915784813784</v>
      </c>
    </row>
    <row r="54" spans="2:6" s="16" customFormat="1" x14ac:dyDescent="0.25">
      <c r="B54" s="17">
        <v>45200</v>
      </c>
      <c r="C54" s="16">
        <v>320</v>
      </c>
      <c r="D54" s="9">
        <f ca="1">AVERAGE($C$33:$C$37,$C$39:$C$47,$C$49:$C$53,$C$55:$C$59,$C$61:$C$72,$C$74:$C$76)</f>
        <v>18</v>
      </c>
      <c r="E54" s="1">
        <f t="shared" ca="1" si="18"/>
        <v>45</v>
      </c>
      <c r="F54" s="5">
        <f t="shared" ca="1" si="17"/>
        <v>95.220625895063037</v>
      </c>
    </row>
    <row r="55" spans="2:6" x14ac:dyDescent="0.25">
      <c r="B55" s="15">
        <v>45231</v>
      </c>
      <c r="C55" s="1">
        <f t="shared" ca="1" si="15"/>
        <v>-20</v>
      </c>
      <c r="D55" s="9">
        <f t="shared" ca="1" si="16"/>
        <v>-20</v>
      </c>
      <c r="E55" s="1">
        <f t="shared" ca="1" si="18"/>
        <v>54.6</v>
      </c>
      <c r="F55" s="5">
        <f t="shared" ca="1" si="17"/>
        <v>60.654438126544122</v>
      </c>
    </row>
    <row r="56" spans="2:6" x14ac:dyDescent="0.25">
      <c r="B56" s="15">
        <v>45261</v>
      </c>
      <c r="C56" s="1">
        <f t="shared" ca="1" si="15"/>
        <v>6</v>
      </c>
      <c r="D56" s="9">
        <f t="shared" ca="1" si="16"/>
        <v>6</v>
      </c>
      <c r="E56" s="1">
        <f t="shared" ca="1" si="18"/>
        <v>48.4</v>
      </c>
      <c r="F56" s="5">
        <f t="shared" ca="1" si="17"/>
        <v>44.258106688580881</v>
      </c>
    </row>
    <row r="57" spans="2:6" x14ac:dyDescent="0.25">
      <c r="B57" s="15">
        <v>45292</v>
      </c>
      <c r="C57" s="1">
        <f t="shared" ca="1" si="15"/>
        <v>41</v>
      </c>
      <c r="D57" s="9">
        <f t="shared" ca="1" si="16"/>
        <v>41</v>
      </c>
      <c r="E57" s="1">
        <f t="shared" ca="1" si="18"/>
        <v>73.8</v>
      </c>
      <c r="F57" s="5">
        <f t="shared" ca="1" si="17"/>
        <v>43.280674682006612</v>
      </c>
    </row>
    <row r="58" spans="2:6" x14ac:dyDescent="0.25">
      <c r="B58" s="15">
        <v>45323</v>
      </c>
      <c r="C58" s="1">
        <f t="shared" ca="1" si="15"/>
        <v>85</v>
      </c>
      <c r="D58" s="9">
        <f t="shared" ca="1" si="16"/>
        <v>85</v>
      </c>
      <c r="E58" s="1">
        <f t="shared" ca="1" si="18"/>
        <v>86.4</v>
      </c>
      <c r="F58" s="5">
        <f t="shared" ca="1" si="17"/>
        <v>55.796472277404625</v>
      </c>
    </row>
    <row r="59" spans="2:6" x14ac:dyDescent="0.25">
      <c r="B59" s="15">
        <v>45352</v>
      </c>
      <c r="C59" s="1">
        <f t="shared" ca="1" si="15"/>
        <v>56</v>
      </c>
      <c r="D59" s="9">
        <f t="shared" ca="1" si="16"/>
        <v>56</v>
      </c>
      <c r="E59" s="1">
        <f t="shared" ca="1" si="18"/>
        <v>33.6</v>
      </c>
      <c r="F59" s="5">
        <f t="shared" ca="1" si="17"/>
        <v>55.857530594183231</v>
      </c>
    </row>
    <row r="60" spans="2:6" s="16" customFormat="1" x14ac:dyDescent="0.25">
      <c r="B60" s="17">
        <v>45383</v>
      </c>
      <c r="C60" s="16">
        <v>234</v>
      </c>
      <c r="D60" s="9">
        <f ca="1">AVERAGE($C$33:$C$37,$C$39:$C$47,$C$49:$C$53,$C$55:$C$59,$C$61:$C$72,$C$74:$C$76)</f>
        <v>18</v>
      </c>
      <c r="E60" s="1">
        <f t="shared" ca="1" si="18"/>
        <v>84.4</v>
      </c>
      <c r="F60" s="5">
        <f t="shared" ca="1" si="17"/>
        <v>109.30027141592826</v>
      </c>
    </row>
    <row r="61" spans="2:6" x14ac:dyDescent="0.25">
      <c r="B61" s="15">
        <v>45413</v>
      </c>
      <c r="C61" s="1">
        <f t="shared" ca="1" si="15"/>
        <v>84</v>
      </c>
      <c r="D61" s="9">
        <f t="shared" ca="1" si="16"/>
        <v>84</v>
      </c>
      <c r="E61" s="1">
        <f t="shared" ca="1" si="18"/>
        <v>100</v>
      </c>
      <c r="F61" s="5">
        <f t="shared" ca="1" si="17"/>
        <v>101.71018999114979</v>
      </c>
    </row>
    <row r="62" spans="2:6" x14ac:dyDescent="0.25">
      <c r="B62" s="15">
        <v>45444</v>
      </c>
      <c r="C62" s="1">
        <f t="shared" ca="1" si="15"/>
        <v>57</v>
      </c>
      <c r="D62" s="9">
        <f t="shared" ca="1" si="16"/>
        <v>57</v>
      </c>
      <c r="E62" s="1">
        <f t="shared" ca="1" si="18"/>
        <v>103.2</v>
      </c>
      <c r="F62" s="5">
        <f t="shared" ca="1" si="17"/>
        <v>88.297132993804837</v>
      </c>
    </row>
    <row r="63" spans="2:6" x14ac:dyDescent="0.25">
      <c r="B63" s="15">
        <v>45474</v>
      </c>
      <c r="C63" s="1">
        <f t="shared" ca="1" si="15"/>
        <v>18</v>
      </c>
      <c r="D63" s="9">
        <f t="shared" ca="1" si="16"/>
        <v>18</v>
      </c>
      <c r="E63" s="1">
        <f t="shared" ca="1" si="18"/>
        <v>89.8</v>
      </c>
      <c r="F63" s="5">
        <f t="shared" ca="1" si="17"/>
        <v>67.207993095663383</v>
      </c>
    </row>
    <row r="64" spans="2:6" x14ac:dyDescent="0.25">
      <c r="B64" s="15">
        <v>45505</v>
      </c>
      <c r="C64" s="1">
        <f t="shared" ca="1" si="15"/>
        <v>78</v>
      </c>
      <c r="D64" s="9">
        <f t="shared" ca="1" si="16"/>
        <v>78</v>
      </c>
      <c r="E64" s="1">
        <f t="shared" ca="1" si="18"/>
        <v>94.2</v>
      </c>
      <c r="F64" s="5">
        <f t="shared" ca="1" si="17"/>
        <v>70.445595166964367</v>
      </c>
    </row>
    <row r="65" spans="1:6" x14ac:dyDescent="0.25">
      <c r="B65" s="15">
        <v>45536</v>
      </c>
      <c r="C65" s="1">
        <f t="shared" ca="1" si="15"/>
        <v>-61</v>
      </c>
      <c r="D65" s="9">
        <f t="shared" ca="1" si="16"/>
        <v>-61</v>
      </c>
      <c r="E65" s="1">
        <f t="shared" ca="1" si="18"/>
        <v>35.200000000000003</v>
      </c>
      <c r="F65" s="5">
        <f t="shared" ca="1" si="17"/>
        <v>31.011916616875052</v>
      </c>
    </row>
    <row r="66" spans="1:6" x14ac:dyDescent="0.25">
      <c r="B66" s="15">
        <v>45566</v>
      </c>
      <c r="C66" s="1">
        <f t="shared" ca="1" si="15"/>
        <v>81</v>
      </c>
      <c r="D66" s="9">
        <f t="shared" ca="1" si="16"/>
        <v>81</v>
      </c>
      <c r="E66" s="1">
        <f t="shared" ca="1" si="18"/>
        <v>34.6</v>
      </c>
      <c r="F66" s="5">
        <f t="shared" ca="1" si="17"/>
        <v>46.008341631812534</v>
      </c>
    </row>
    <row r="67" spans="1:6" x14ac:dyDescent="0.25">
      <c r="B67" s="15">
        <v>45597</v>
      </c>
      <c r="C67" s="1">
        <f t="shared" ca="1" si="15"/>
        <v>72</v>
      </c>
      <c r="D67" s="9">
        <f t="shared" ca="1" si="16"/>
        <v>72</v>
      </c>
      <c r="E67" s="1">
        <f t="shared" ca="1" si="18"/>
        <v>37.6</v>
      </c>
      <c r="F67" s="5">
        <f t="shared" ca="1" si="17"/>
        <v>53.805839142268766</v>
      </c>
    </row>
    <row r="68" spans="1:6" x14ac:dyDescent="0.25">
      <c r="B68" s="15">
        <v>45627</v>
      </c>
      <c r="C68" s="1">
        <f t="shared" ca="1" si="15"/>
        <v>93</v>
      </c>
      <c r="D68" s="9">
        <f t="shared" ca="1" si="16"/>
        <v>93</v>
      </c>
      <c r="E68" s="1">
        <f t="shared" ca="1" si="18"/>
        <v>52.6</v>
      </c>
      <c r="F68" s="5">
        <f t="shared" ca="1" si="17"/>
        <v>65.564087399588132</v>
      </c>
    </row>
    <row r="69" spans="1:6" x14ac:dyDescent="0.25">
      <c r="B69" s="15">
        <v>45658</v>
      </c>
      <c r="C69" s="1">
        <f t="shared" ca="1" si="15"/>
        <v>-37</v>
      </c>
      <c r="D69" s="9">
        <f t="shared" ca="1" si="16"/>
        <v>-37</v>
      </c>
      <c r="E69" s="1">
        <f t="shared" ca="1" si="18"/>
        <v>29.6</v>
      </c>
      <c r="F69" s="5">
        <f t="shared" ca="1" si="17"/>
        <v>34.794861179711688</v>
      </c>
    </row>
    <row r="70" spans="1:6" x14ac:dyDescent="0.25">
      <c r="B70" s="15">
        <v>45689</v>
      </c>
      <c r="C70" s="1">
        <f t="shared" ca="1" si="15"/>
        <v>61</v>
      </c>
      <c r="D70" s="9">
        <f t="shared" ca="1" si="16"/>
        <v>61</v>
      </c>
      <c r="E70" s="1">
        <f t="shared" ca="1" si="18"/>
        <v>54</v>
      </c>
      <c r="F70" s="5">
        <f t="shared" ca="1" si="17"/>
        <v>42.656402825798182</v>
      </c>
    </row>
    <row r="71" spans="1:6" x14ac:dyDescent="0.25">
      <c r="B71" s="15">
        <v>45717</v>
      </c>
      <c r="C71" s="1">
        <f t="shared" ca="1" si="15"/>
        <v>6</v>
      </c>
      <c r="D71" s="9">
        <f t="shared" ca="1" si="16"/>
        <v>6</v>
      </c>
      <c r="E71" s="1">
        <f t="shared" ca="1" si="18"/>
        <v>39</v>
      </c>
      <c r="F71" s="5">
        <f t="shared" ca="1" si="17"/>
        <v>31.659481978058725</v>
      </c>
    </row>
    <row r="72" spans="1:6" x14ac:dyDescent="0.25">
      <c r="B72" s="15">
        <v>45748</v>
      </c>
      <c r="C72" s="1">
        <f t="shared" ca="1" si="15"/>
        <v>100</v>
      </c>
      <c r="D72" s="9">
        <f t="shared" ca="1" si="16"/>
        <v>100</v>
      </c>
      <c r="E72" s="1">
        <f t="shared" ca="1" si="18"/>
        <v>44.6</v>
      </c>
      <c r="F72" s="5">
        <f t="shared" ca="1" si="17"/>
        <v>52.161637384641111</v>
      </c>
    </row>
    <row r="73" spans="1:6" s="16" customFormat="1" x14ac:dyDescent="0.25">
      <c r="B73" s="17">
        <v>45778</v>
      </c>
      <c r="C73" s="16">
        <v>-324</v>
      </c>
      <c r="D73" s="9">
        <f ca="1">AVERAGE($C$33:$C$37,$C$39:$C$47,$C$49:$C$53,$C$55:$C$59,$C$61:$C$72,$C$74:$C$76)</f>
        <v>18</v>
      </c>
      <c r="E73" s="1">
        <f t="shared" ca="1" si="18"/>
        <v>-38.799999999999997</v>
      </c>
      <c r="F73" s="5">
        <f t="shared" ca="1" si="17"/>
        <v>-60.686853830751225</v>
      </c>
    </row>
    <row r="74" spans="1:6" x14ac:dyDescent="0.25">
      <c r="B74" s="15">
        <v>45809</v>
      </c>
      <c r="C74" s="1">
        <f t="shared" ca="1" si="15"/>
        <v>92</v>
      </c>
      <c r="D74" s="9">
        <f t="shared" ca="1" si="16"/>
        <v>92</v>
      </c>
      <c r="E74" s="1">
        <f t="shared" ca="1" si="18"/>
        <v>-13</v>
      </c>
      <c r="F74" s="5">
        <f t="shared" ca="1" si="17"/>
        <v>-14.880797681525859</v>
      </c>
    </row>
    <row r="75" spans="1:6" x14ac:dyDescent="0.25">
      <c r="B75" s="15">
        <v>45839</v>
      </c>
      <c r="C75" s="1">
        <f t="shared" ca="1" si="15"/>
        <v>37</v>
      </c>
      <c r="D75" s="9">
        <f t="shared" ca="1" si="16"/>
        <v>37</v>
      </c>
      <c r="E75" s="1">
        <f t="shared" ca="1" si="18"/>
        <v>-17.8</v>
      </c>
      <c r="F75" s="5">
        <f t="shared" ca="1" si="17"/>
        <v>0.68344162293189825</v>
      </c>
    </row>
    <row r="76" spans="1:6" x14ac:dyDescent="0.25">
      <c r="B76" s="15">
        <v>45870</v>
      </c>
      <c r="C76" s="1">
        <f t="shared" ca="1" si="15"/>
        <v>65</v>
      </c>
      <c r="D76" s="9">
        <f t="shared" ca="1" si="16"/>
        <v>65</v>
      </c>
      <c r="E76" s="1">
        <f t="shared" ca="1" si="18"/>
        <v>-6</v>
      </c>
      <c r="F76" s="5">
        <f t="shared" ca="1" si="17"/>
        <v>19.978409136052328</v>
      </c>
    </row>
    <row r="79" spans="1:6" ht="15.6" x14ac:dyDescent="0.3">
      <c r="A79" s="1" t="s">
        <v>38</v>
      </c>
      <c r="B79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3"/>
  <sheetViews>
    <sheetView zoomScale="70" zoomScaleNormal="70" workbookViewId="0">
      <selection activeCell="B2" sqref="B2:B3"/>
    </sheetView>
  </sheetViews>
  <sheetFormatPr defaultRowHeight="14.4" x14ac:dyDescent="0.3"/>
  <cols>
    <col min="3" max="3" width="10.5546875" customWidth="1"/>
    <col min="4" max="4" width="16.33203125" customWidth="1"/>
    <col min="5" max="5" width="14.6640625" customWidth="1"/>
    <col min="6" max="6" width="12.109375" customWidth="1"/>
    <col min="8" max="8" width="10.77734375" bestFit="1" customWidth="1"/>
  </cols>
  <sheetData>
    <row r="2" spans="2:7" ht="15.6" x14ac:dyDescent="0.3">
      <c r="B2" s="66" t="s">
        <v>84</v>
      </c>
    </row>
    <row r="3" spans="2:7" x14ac:dyDescent="0.3">
      <c r="B3" s="67" t="s">
        <v>85</v>
      </c>
    </row>
    <row r="4" spans="2:7" x14ac:dyDescent="0.3">
      <c r="D4" t="s">
        <v>39</v>
      </c>
      <c r="E4" s="27">
        <v>-2.1944338305959743</v>
      </c>
    </row>
    <row r="5" spans="2:7" x14ac:dyDescent="0.3">
      <c r="D5" t="s">
        <v>40</v>
      </c>
      <c r="E5" s="27">
        <v>0.79723608223203046</v>
      </c>
    </row>
    <row r="6" spans="2:7" x14ac:dyDescent="0.3">
      <c r="D6" t="s">
        <v>65</v>
      </c>
      <c r="E6" s="68">
        <v>0.1</v>
      </c>
    </row>
    <row r="7" spans="2:7" x14ac:dyDescent="0.3">
      <c r="E7" s="21"/>
    </row>
    <row r="8" spans="2:7" x14ac:dyDescent="0.3">
      <c r="D8" s="22" t="s">
        <v>44</v>
      </c>
      <c r="E8" s="21">
        <f>SUMPRODUCT(E11:E21,F11:F21)/F22-E6</f>
        <v>-5.5085519479192158E-12</v>
      </c>
    </row>
    <row r="10" spans="2:7" ht="28.8" x14ac:dyDescent="0.3">
      <c r="B10" s="28" t="s">
        <v>41</v>
      </c>
      <c r="C10" s="28" t="s">
        <v>47</v>
      </c>
      <c r="D10" s="69" t="s">
        <v>42</v>
      </c>
      <c r="E10" s="29" t="s">
        <v>43</v>
      </c>
      <c r="F10" s="29" t="s">
        <v>45</v>
      </c>
      <c r="G10" s="29" t="s">
        <v>46</v>
      </c>
    </row>
    <row r="11" spans="2:7" x14ac:dyDescent="0.3">
      <c r="B11">
        <v>1</v>
      </c>
      <c r="C11" s="26">
        <v>-1.5</v>
      </c>
      <c r="D11" s="68">
        <v>0.02</v>
      </c>
      <c r="E11" s="21">
        <f>1/(1+EXP(-($E$4+$E$5*C11)))</f>
        <v>3.2600372711438098E-2</v>
      </c>
      <c r="F11">
        <v>100</v>
      </c>
      <c r="G11">
        <f t="shared" ref="G11:G19" si="0">(D11-E11)^2</f>
        <v>1.5876939246715389E-4</v>
      </c>
    </row>
    <row r="12" spans="2:7" x14ac:dyDescent="0.3">
      <c r="B12">
        <v>2</v>
      </c>
      <c r="C12" s="26">
        <f>C11+30%</f>
        <v>-1.2</v>
      </c>
      <c r="D12" s="68">
        <v>0.04</v>
      </c>
      <c r="E12" s="21">
        <f t="shared" ref="E12:E21" si="1">1/(1+EXP(-($E$4+$E$5*C12)))</f>
        <v>4.1047282755081918E-2</v>
      </c>
      <c r="F12">
        <v>200</v>
      </c>
      <c r="G12">
        <f t="shared" si="0"/>
        <v>1.096801169091971E-6</v>
      </c>
    </row>
    <row r="13" spans="2:7" x14ac:dyDescent="0.3">
      <c r="B13">
        <v>3</v>
      </c>
      <c r="C13" s="26">
        <f t="shared" ref="C13:C21" si="2">C12+30%</f>
        <v>-0.89999999999999991</v>
      </c>
      <c r="D13" s="68">
        <v>0.01</v>
      </c>
      <c r="E13" s="21">
        <f t="shared" si="1"/>
        <v>5.1566164240396353E-2</v>
      </c>
      <c r="F13">
        <v>300</v>
      </c>
      <c r="G13">
        <f t="shared" si="0"/>
        <v>1.7277460096596043E-3</v>
      </c>
    </row>
    <row r="14" spans="2:7" x14ac:dyDescent="0.3">
      <c r="B14">
        <v>4</v>
      </c>
      <c r="C14" s="26">
        <f t="shared" si="2"/>
        <v>-0.59999999999999987</v>
      </c>
      <c r="D14" s="68">
        <v>0.05</v>
      </c>
      <c r="E14" s="21">
        <f t="shared" si="1"/>
        <v>6.4599054602426126E-2</v>
      </c>
      <c r="F14">
        <v>500</v>
      </c>
      <c r="G14">
        <f t="shared" si="0"/>
        <v>2.1313239528461937E-4</v>
      </c>
    </row>
    <row r="15" spans="2:7" x14ac:dyDescent="0.3">
      <c r="B15">
        <v>5</v>
      </c>
      <c r="C15" s="26">
        <f t="shared" si="2"/>
        <v>-0.29999999999999988</v>
      </c>
      <c r="D15" s="68">
        <v>0.03</v>
      </c>
      <c r="E15" s="21">
        <f>1/(1+EXP(-($E$4+$E$5*C15)))</f>
        <v>8.0645806333892664E-2</v>
      </c>
      <c r="F15">
        <v>700</v>
      </c>
      <c r="G15">
        <f t="shared" si="0"/>
        <v>2.5649976992101623E-3</v>
      </c>
    </row>
    <row r="16" spans="2:7" x14ac:dyDescent="0.3">
      <c r="B16">
        <v>6</v>
      </c>
      <c r="C16" s="26">
        <f t="shared" si="2"/>
        <v>0</v>
      </c>
      <c r="D16" s="68">
        <v>0.09</v>
      </c>
      <c r="E16" s="21">
        <f t="shared" si="1"/>
        <v>0.10025144773420472</v>
      </c>
      <c r="F16">
        <v>700</v>
      </c>
      <c r="G16">
        <f t="shared" si="0"/>
        <v>1.0509218064713113E-4</v>
      </c>
    </row>
    <row r="17" spans="2:7" x14ac:dyDescent="0.3">
      <c r="B17">
        <v>7</v>
      </c>
      <c r="C17" s="26">
        <f t="shared" si="2"/>
        <v>0.3</v>
      </c>
      <c r="D17" s="68">
        <v>7.0000000000000007E-2</v>
      </c>
      <c r="E17" s="21">
        <f t="shared" si="1"/>
        <v>0.12398061402486669</v>
      </c>
      <c r="F17">
        <v>500</v>
      </c>
      <c r="G17">
        <f t="shared" si="0"/>
        <v>2.9139066905016341E-3</v>
      </c>
    </row>
    <row r="18" spans="2:7" x14ac:dyDescent="0.3">
      <c r="B18">
        <v>8</v>
      </c>
      <c r="C18" s="26">
        <f t="shared" si="2"/>
        <v>0.6</v>
      </c>
      <c r="D18" s="68">
        <v>0.12</v>
      </c>
      <c r="E18" s="21">
        <f t="shared" si="1"/>
        <v>0.15237520044455546</v>
      </c>
      <c r="F18">
        <v>300</v>
      </c>
      <c r="G18">
        <f t="shared" si="0"/>
        <v>1.0481536038251446E-3</v>
      </c>
    </row>
    <row r="19" spans="2:7" x14ac:dyDescent="0.3">
      <c r="B19">
        <v>9</v>
      </c>
      <c r="C19" s="26">
        <f t="shared" si="2"/>
        <v>0.89999999999999991</v>
      </c>
      <c r="D19" s="68">
        <v>0.17</v>
      </c>
      <c r="E19" s="21">
        <f t="shared" si="1"/>
        <v>0.18589288060176121</v>
      </c>
      <c r="F19">
        <v>200</v>
      </c>
      <c r="G19">
        <f t="shared" si="0"/>
        <v>2.5258365382183729E-4</v>
      </c>
    </row>
    <row r="20" spans="2:7" x14ac:dyDescent="0.3">
      <c r="B20">
        <v>10</v>
      </c>
      <c r="C20" s="26">
        <f t="shared" si="2"/>
        <v>1.2</v>
      </c>
      <c r="D20" s="68">
        <v>0.36</v>
      </c>
      <c r="E20" s="21">
        <f t="shared" si="1"/>
        <v>0.22482778090739725</v>
      </c>
      <c r="F20">
        <v>100</v>
      </c>
      <c r="G20">
        <f>SUM(G11:G19)</f>
        <v>8.9854784265863789E-3</v>
      </c>
    </row>
    <row r="21" spans="2:7" x14ac:dyDescent="0.3">
      <c r="B21">
        <v>11</v>
      </c>
      <c r="C21" s="26">
        <f t="shared" si="2"/>
        <v>1.5</v>
      </c>
      <c r="D21" s="68">
        <v>0.57999999999999996</v>
      </c>
      <c r="E21" s="21">
        <f t="shared" si="1"/>
        <v>0.26922075949741486</v>
      </c>
      <c r="F21">
        <v>40</v>
      </c>
      <c r="G21">
        <f>SUM(G12:G20)</f>
        <v>1.7812187460705606E-2</v>
      </c>
    </row>
    <row r="22" spans="2:7" s="23" customFormat="1" x14ac:dyDescent="0.3">
      <c r="B22" s="23" t="s">
        <v>48</v>
      </c>
      <c r="F22" s="23">
        <f>SUM(F11:F21)</f>
        <v>3640</v>
      </c>
      <c r="G22" s="23">
        <f>SUM(G11:G21)</f>
        <v>3.5783144313878364E-2</v>
      </c>
    </row>
    <row r="23" spans="2:7" x14ac:dyDescent="0.3">
      <c r="D23" s="24"/>
      <c r="E23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7"/>
  <sheetViews>
    <sheetView showGridLines="0" workbookViewId="0">
      <selection activeCell="E4" sqref="E4"/>
    </sheetView>
  </sheetViews>
  <sheetFormatPr defaultColWidth="9.21875" defaultRowHeight="10.199999999999999" x14ac:dyDescent="0.2"/>
  <cols>
    <col min="1" max="1" width="5.21875" style="30" customWidth="1"/>
    <col min="2" max="2" width="9.21875" style="30"/>
    <col min="3" max="3" width="9.21875" style="30" bestFit="1" customWidth="1"/>
    <col min="4" max="4" width="16" style="30" customWidth="1"/>
    <col min="5" max="5" width="16.21875" style="31" customWidth="1"/>
    <col min="6" max="6" width="17.5546875" style="31" customWidth="1"/>
    <col min="7" max="7" width="21.77734375" style="30" customWidth="1"/>
    <col min="8" max="16" width="9.21875" style="30"/>
    <col min="17" max="17" width="9.21875" style="30" bestFit="1" customWidth="1"/>
    <col min="18" max="16384" width="9.21875" style="30"/>
  </cols>
  <sheetData>
    <row r="2" spans="2:10" ht="15.6" x14ac:dyDescent="0.3">
      <c r="B2" s="66" t="s">
        <v>84</v>
      </c>
    </row>
    <row r="3" spans="2:10" ht="14.4" x14ac:dyDescent="0.3">
      <c r="B3" s="67" t="s">
        <v>85</v>
      </c>
    </row>
    <row r="4" spans="2:10" ht="10.8" thickBot="1" x14ac:dyDescent="0.25"/>
    <row r="5" spans="2:10" x14ac:dyDescent="0.2">
      <c r="B5" s="70" t="s">
        <v>49</v>
      </c>
      <c r="C5" s="71">
        <v>0.10152258064084027</v>
      </c>
      <c r="D5" s="74" t="s">
        <v>50</v>
      </c>
      <c r="E5" s="75">
        <f>AVERAGE(E10:E15)-H5</f>
        <v>1.5097757032067616E-7</v>
      </c>
      <c r="G5" s="32" t="s">
        <v>86</v>
      </c>
      <c r="H5" s="33">
        <v>0.1</v>
      </c>
    </row>
    <row r="6" spans="2:10" ht="10.8" thickBot="1" x14ac:dyDescent="0.25">
      <c r="B6" s="72" t="s">
        <v>51</v>
      </c>
      <c r="C6" s="73">
        <v>-8.2612256160267528</v>
      </c>
      <c r="D6" s="76" t="s">
        <v>52</v>
      </c>
      <c r="E6" s="77">
        <f>2*J16-1</f>
        <v>0.49999902789684025</v>
      </c>
      <c r="G6" s="32" t="s">
        <v>87</v>
      </c>
      <c r="H6" s="33">
        <v>0.5</v>
      </c>
    </row>
    <row r="7" spans="2:10" s="38" customFormat="1" x14ac:dyDescent="0.2">
      <c r="B7" s="34"/>
      <c r="C7" s="35"/>
      <c r="D7" s="34"/>
      <c r="E7" s="36"/>
      <c r="F7" s="37"/>
    </row>
    <row r="8" spans="2:10" s="39" customFormat="1" x14ac:dyDescent="0.2">
      <c r="C8" s="40" t="s">
        <v>41</v>
      </c>
      <c r="D8" s="41" t="s">
        <v>53</v>
      </c>
      <c r="E8" s="42" t="s">
        <v>54</v>
      </c>
      <c r="F8" s="42" t="s">
        <v>55</v>
      </c>
      <c r="H8" s="42" t="s">
        <v>56</v>
      </c>
      <c r="I8" s="42" t="s">
        <v>57</v>
      </c>
      <c r="J8" s="42" t="s">
        <v>58</v>
      </c>
    </row>
    <row r="9" spans="2:10" s="39" customFormat="1" x14ac:dyDescent="0.2">
      <c r="H9" s="33">
        <v>0</v>
      </c>
      <c r="I9" s="33">
        <v>0</v>
      </c>
      <c r="J9" s="33">
        <v>0</v>
      </c>
    </row>
    <row r="10" spans="2:10" s="39" customFormat="1" x14ac:dyDescent="0.2">
      <c r="B10" s="39">
        <v>6</v>
      </c>
      <c r="C10" s="39" t="s">
        <v>59</v>
      </c>
      <c r="D10" s="43">
        <f t="shared" ref="D10:D15" si="0">100%*1/B10</f>
        <v>0.16666666666666666</v>
      </c>
      <c r="E10" s="33">
        <f t="shared" ref="E10:E14" si="1">1/(1+EXP(-$C$6*D10-$C$5))</f>
        <v>0.21834307667120126</v>
      </c>
      <c r="F10" s="33">
        <f t="shared" ref="F10:F15" si="2">1-E10</f>
        <v>0.78165692332879877</v>
      </c>
      <c r="H10" s="44">
        <f>SUM(E$10:E10)/$H$17</f>
        <v>0.36390457837104467</v>
      </c>
      <c r="I10" s="44">
        <f>SUM($F$10:F10)/$I$17</f>
        <v>0.14475130638037073</v>
      </c>
      <c r="J10" s="33">
        <f t="shared" ref="J10:J15" si="3">(I10-I9)*0.5*(H10+H9)</f>
        <v>2.6337831558503361E-2</v>
      </c>
    </row>
    <row r="11" spans="2:10" s="39" customFormat="1" x14ac:dyDescent="0.2">
      <c r="B11" s="39">
        <f t="shared" ref="B11:B15" si="4">B10-1</f>
        <v>5</v>
      </c>
      <c r="C11" s="39" t="s">
        <v>60</v>
      </c>
      <c r="D11" s="43">
        <f t="shared" si="0"/>
        <v>0.2</v>
      </c>
      <c r="E11" s="33">
        <f t="shared" si="1"/>
        <v>0.17498193506878659</v>
      </c>
      <c r="F11" s="33">
        <f t="shared" si="2"/>
        <v>0.82501806493121344</v>
      </c>
      <c r="H11" s="44">
        <f>SUM(E$10:E11)/$H$17</f>
        <v>0.6555406965138969</v>
      </c>
      <c r="I11" s="44">
        <f>SUM($F$10:F11)/$I$17</f>
        <v>0.29753245514525467</v>
      </c>
      <c r="J11" s="33">
        <f t="shared" si="3"/>
        <v>7.7876010099927132E-2</v>
      </c>
    </row>
    <row r="12" spans="2:10" s="39" customFormat="1" x14ac:dyDescent="0.2">
      <c r="B12" s="39">
        <f t="shared" si="4"/>
        <v>4</v>
      </c>
      <c r="C12" s="39" t="s">
        <v>61</v>
      </c>
      <c r="D12" s="43">
        <f t="shared" si="0"/>
        <v>0.25</v>
      </c>
      <c r="E12" s="33">
        <f t="shared" si="1"/>
        <v>0.12305813417305171</v>
      </c>
      <c r="F12" s="33">
        <f t="shared" si="2"/>
        <v>0.87694186582694833</v>
      </c>
      <c r="H12" s="44">
        <f>SUM(E$10:E12)/$H$17</f>
        <v>0.86063727715248217</v>
      </c>
      <c r="I12" s="44">
        <f>SUM($F$10:F12)/$I$17</f>
        <v>0.45992912420756493</v>
      </c>
      <c r="J12" s="33">
        <f t="shared" si="3"/>
        <v>0.12311112631453155</v>
      </c>
    </row>
    <row r="13" spans="2:10" s="39" customFormat="1" x14ac:dyDescent="0.2">
      <c r="B13" s="39">
        <f t="shared" si="4"/>
        <v>3</v>
      </c>
      <c r="C13" s="39" t="s">
        <v>62</v>
      </c>
      <c r="D13" s="43">
        <f t="shared" si="0"/>
        <v>0.33333333333333331</v>
      </c>
      <c r="E13" s="33">
        <f t="shared" si="1"/>
        <v>6.5852356345869806E-2</v>
      </c>
      <c r="F13" s="33">
        <f t="shared" si="2"/>
        <v>0.93414764365413017</v>
      </c>
      <c r="H13" s="44">
        <f>SUM(E$10:E13)/$H$17</f>
        <v>0.97039103869203613</v>
      </c>
      <c r="I13" s="44">
        <f>SUM($F$10:F13)/$I$17</f>
        <v>0.63291945760758195</v>
      </c>
      <c r="J13" s="33">
        <f t="shared" si="3"/>
        <v>0.15837509941140746</v>
      </c>
    </row>
    <row r="14" spans="2:10" s="39" customFormat="1" x14ac:dyDescent="0.2">
      <c r="B14" s="39">
        <f t="shared" si="4"/>
        <v>2</v>
      </c>
      <c r="C14" s="39" t="s">
        <v>63</v>
      </c>
      <c r="D14" s="43">
        <f t="shared" si="0"/>
        <v>0.5</v>
      </c>
      <c r="E14" s="33">
        <f t="shared" si="1"/>
        <v>1.7479538050576775E-2</v>
      </c>
      <c r="F14" s="33">
        <f t="shared" si="2"/>
        <v>0.98252046194942322</v>
      </c>
      <c r="H14" s="44">
        <f>SUM(E$10:E14)/$H$17</f>
        <v>0.99952355812609406</v>
      </c>
      <c r="I14" s="44">
        <f>SUM($F$10:F14)/$I$17</f>
        <v>0.81486772182426059</v>
      </c>
      <c r="J14" s="33">
        <f t="shared" si="3"/>
        <v>0.17921127077307858</v>
      </c>
    </row>
    <row r="15" spans="2:10" s="39" customFormat="1" x14ac:dyDescent="0.2">
      <c r="B15" s="39">
        <f t="shared" si="4"/>
        <v>1</v>
      </c>
      <c r="C15" s="39" t="s">
        <v>64</v>
      </c>
      <c r="D15" s="43">
        <f t="shared" si="0"/>
        <v>1</v>
      </c>
      <c r="E15" s="33">
        <f>1/(1+EXP(-$C$6*D15-$C$5))</f>
        <v>2.8586555593579236E-4</v>
      </c>
      <c r="F15" s="33">
        <f t="shared" si="2"/>
        <v>0.99971413444406421</v>
      </c>
      <c r="H15" s="44">
        <f>SUM(E$10:E15)/$H$17</f>
        <v>1</v>
      </c>
      <c r="I15" s="44">
        <f>SUM($F$10:F15)/$I$17</f>
        <v>1</v>
      </c>
      <c r="J15" s="33">
        <f t="shared" si="3"/>
        <v>0.18508817579097214</v>
      </c>
    </row>
    <row r="16" spans="2:10" x14ac:dyDescent="0.2">
      <c r="H16" s="44">
        <f>SUM(E$10:E16)/$H$17</f>
        <v>1</v>
      </c>
      <c r="I16" s="44">
        <f>SUM($F$10:F16)/$I$17</f>
        <v>1</v>
      </c>
      <c r="J16" s="45">
        <f>SUM(J9:J15)</f>
        <v>0.74999951394842013</v>
      </c>
    </row>
    <row r="17" spans="8:9" x14ac:dyDescent="0.2">
      <c r="H17" s="46">
        <f>SUM(E10:E15)</f>
        <v>0.60000090586542199</v>
      </c>
      <c r="I17" s="46">
        <f>SUM(F10:F15)</f>
        <v>5.3999990941345786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FF28-7BF0-4192-99CC-C56C491781E6}">
  <dimension ref="A2:AD70"/>
  <sheetViews>
    <sheetView topLeftCell="A61" workbookViewId="0">
      <selection activeCell="F70" sqref="F70"/>
    </sheetView>
  </sheetViews>
  <sheetFormatPr defaultRowHeight="10.199999999999999" x14ac:dyDescent="0.3"/>
  <cols>
    <col min="1" max="1" width="8.88671875" style="47"/>
    <col min="2" max="2" width="26.109375" style="47" customWidth="1"/>
    <col min="3" max="26" width="6.77734375" style="47" customWidth="1"/>
    <col min="27" max="16384" width="8.88671875" style="47"/>
  </cols>
  <sheetData>
    <row r="2" spans="1:30" s="59" customFormat="1" x14ac:dyDescent="0.3">
      <c r="B2" s="59" t="s">
        <v>82</v>
      </c>
    </row>
    <row r="4" spans="1:30" x14ac:dyDescent="0.3">
      <c r="B4" s="47" t="s">
        <v>66</v>
      </c>
    </row>
    <row r="5" spans="1:30" x14ac:dyDescent="0.3">
      <c r="B5" s="47" t="s">
        <v>67</v>
      </c>
      <c r="C5" s="48">
        <f>Z10</f>
        <v>43435</v>
      </c>
    </row>
    <row r="6" spans="1:30" x14ac:dyDescent="0.3">
      <c r="B6" s="47" t="s">
        <v>68</v>
      </c>
      <c r="C6" s="49">
        <v>0.15</v>
      </c>
    </row>
    <row r="7" spans="1:30" x14ac:dyDescent="0.3">
      <c r="C7" s="48"/>
    </row>
    <row r="8" spans="1:30" x14ac:dyDescent="0.3">
      <c r="A8" s="50" t="s">
        <v>73</v>
      </c>
      <c r="B8" s="50" t="s">
        <v>72</v>
      </c>
    </row>
    <row r="10" spans="1:30" s="50" customFormat="1" x14ac:dyDescent="0.3">
      <c r="B10" s="51" t="s">
        <v>83</v>
      </c>
      <c r="C10" s="52">
        <v>42736</v>
      </c>
      <c r="D10" s="52">
        <f>EOMONTH(C10,0)+1</f>
        <v>42767</v>
      </c>
      <c r="E10" s="52">
        <f t="shared" ref="E10:Z10" si="0">EOMONTH(D10,0)+1</f>
        <v>42795</v>
      </c>
      <c r="F10" s="52">
        <f t="shared" si="0"/>
        <v>42826</v>
      </c>
      <c r="G10" s="52">
        <f t="shared" si="0"/>
        <v>42856</v>
      </c>
      <c r="H10" s="52">
        <f t="shared" si="0"/>
        <v>42887</v>
      </c>
      <c r="I10" s="52">
        <f t="shared" si="0"/>
        <v>42917</v>
      </c>
      <c r="J10" s="52">
        <f t="shared" si="0"/>
        <v>42948</v>
      </c>
      <c r="K10" s="52">
        <f t="shared" si="0"/>
        <v>42979</v>
      </c>
      <c r="L10" s="52">
        <f t="shared" si="0"/>
        <v>43009</v>
      </c>
      <c r="M10" s="52">
        <f t="shared" si="0"/>
        <v>43040</v>
      </c>
      <c r="N10" s="52">
        <f t="shared" si="0"/>
        <v>43070</v>
      </c>
      <c r="O10" s="52">
        <f t="shared" si="0"/>
        <v>43101</v>
      </c>
      <c r="P10" s="52">
        <f t="shared" si="0"/>
        <v>43132</v>
      </c>
      <c r="Q10" s="52">
        <f t="shared" si="0"/>
        <v>43160</v>
      </c>
      <c r="R10" s="52">
        <f t="shared" si="0"/>
        <v>43191</v>
      </c>
      <c r="S10" s="52">
        <f t="shared" si="0"/>
        <v>43221</v>
      </c>
      <c r="T10" s="52">
        <f t="shared" si="0"/>
        <v>43252</v>
      </c>
      <c r="U10" s="52">
        <f t="shared" si="0"/>
        <v>43282</v>
      </c>
      <c r="V10" s="52">
        <f t="shared" si="0"/>
        <v>43313</v>
      </c>
      <c r="W10" s="52">
        <f t="shared" si="0"/>
        <v>43344</v>
      </c>
      <c r="X10" s="52">
        <f t="shared" si="0"/>
        <v>43374</v>
      </c>
      <c r="Y10" s="52">
        <f t="shared" si="0"/>
        <v>43405</v>
      </c>
      <c r="Z10" s="52">
        <f t="shared" si="0"/>
        <v>43435</v>
      </c>
      <c r="AB10" s="52"/>
      <c r="AC10" s="52"/>
      <c r="AD10" s="52"/>
    </row>
    <row r="11" spans="1:30" x14ac:dyDescent="0.3">
      <c r="B11" s="53" t="s">
        <v>69</v>
      </c>
      <c r="C11" s="54">
        <v>100</v>
      </c>
      <c r="D11" s="54">
        <v>150</v>
      </c>
      <c r="E11" s="54">
        <v>170</v>
      </c>
      <c r="F11" s="54">
        <v>80</v>
      </c>
      <c r="G11" s="54">
        <v>83</v>
      </c>
      <c r="H11" s="54">
        <v>108</v>
      </c>
      <c r="I11" s="54">
        <v>172</v>
      </c>
      <c r="J11" s="54">
        <v>231</v>
      </c>
      <c r="K11" s="54">
        <v>217</v>
      </c>
      <c r="L11" s="54">
        <v>207</v>
      </c>
      <c r="M11" s="54">
        <v>260</v>
      </c>
      <c r="N11" s="54">
        <v>290</v>
      </c>
      <c r="O11" s="64">
        <v>221</v>
      </c>
      <c r="P11" s="64">
        <v>229</v>
      </c>
      <c r="Q11" s="64">
        <v>182</v>
      </c>
      <c r="R11" s="64">
        <v>161</v>
      </c>
      <c r="S11" s="64">
        <v>167</v>
      </c>
      <c r="T11" s="64">
        <v>82</v>
      </c>
      <c r="U11" s="64">
        <v>169</v>
      </c>
      <c r="V11" s="64">
        <v>231</v>
      </c>
      <c r="W11" s="64">
        <v>253</v>
      </c>
      <c r="X11" s="64">
        <v>210</v>
      </c>
      <c r="Y11" s="64">
        <v>203</v>
      </c>
      <c r="Z11" s="64">
        <v>193</v>
      </c>
      <c r="AB11" s="56"/>
    </row>
    <row r="12" spans="1:30" ht="10.199999999999999" customHeight="1" x14ac:dyDescent="0.3">
      <c r="A12" s="65" t="s">
        <v>70</v>
      </c>
      <c r="B12" s="47">
        <v>1</v>
      </c>
      <c r="C12" s="54">
        <v>97.5</v>
      </c>
      <c r="D12" s="54">
        <v>146.08695652173921</v>
      </c>
      <c r="E12" s="54">
        <v>165.75</v>
      </c>
      <c r="F12" s="54">
        <v>77.942857142857093</v>
      </c>
      <c r="G12" s="54">
        <v>80.883500000000041</v>
      </c>
      <c r="H12" s="54">
        <v>105.38526315789467</v>
      </c>
      <c r="I12" s="54">
        <v>167.79555555555561</v>
      </c>
      <c r="J12" s="54">
        <v>225.564705882353</v>
      </c>
      <c r="K12" s="54">
        <v>211.43937499999984</v>
      </c>
      <c r="L12" s="54">
        <v>202.03199999999987</v>
      </c>
      <c r="M12" s="54">
        <v>253.50000000000003</v>
      </c>
      <c r="N12" s="64">
        <v>283.30769230769221</v>
      </c>
      <c r="O12" s="64">
        <v>215.47500000000011</v>
      </c>
      <c r="P12" s="64">
        <v>222.75454545454554</v>
      </c>
      <c r="Q12" s="64">
        <v>176.54000000000011</v>
      </c>
      <c r="R12" s="64">
        <v>155.63333333333338</v>
      </c>
      <c r="S12" s="64">
        <v>161.5725000000001</v>
      </c>
      <c r="T12" s="64">
        <v>79.539999999999978</v>
      </c>
      <c r="U12" s="64">
        <v>164.21166666666667</v>
      </c>
      <c r="V12" s="64">
        <v>222.68399999999997</v>
      </c>
      <c r="W12" s="64">
        <v>244.14500000000004</v>
      </c>
      <c r="X12" s="64">
        <v>203.00000000000003</v>
      </c>
      <c r="Y12" s="64">
        <v>197.92500000000004</v>
      </c>
      <c r="Z12" s="64">
        <v>187.21000000000009</v>
      </c>
    </row>
    <row r="13" spans="1:30" x14ac:dyDescent="0.3">
      <c r="A13" s="65"/>
      <c r="B13" s="47">
        <f>B12+1</f>
        <v>2</v>
      </c>
      <c r="C13" s="54">
        <v>95</v>
      </c>
      <c r="D13" s="54">
        <v>142.17391304347834</v>
      </c>
      <c r="E13" s="54">
        <v>161.5</v>
      </c>
      <c r="F13" s="54">
        <v>75.885714285714243</v>
      </c>
      <c r="G13" s="54">
        <v>78.767000000000039</v>
      </c>
      <c r="H13" s="54">
        <v>102.77052631578941</v>
      </c>
      <c r="I13" s="54">
        <v>163.59111111111116</v>
      </c>
      <c r="J13" s="54">
        <v>220.12941176470594</v>
      </c>
      <c r="K13" s="54">
        <v>205.87874999999985</v>
      </c>
      <c r="L13" s="54">
        <v>197.06399999999988</v>
      </c>
      <c r="M13" s="64">
        <v>247.00000000000003</v>
      </c>
      <c r="N13" s="64">
        <v>276.61538461538453</v>
      </c>
      <c r="O13" s="64">
        <v>209.9500000000001</v>
      </c>
      <c r="P13" s="64">
        <v>216.50909090909099</v>
      </c>
      <c r="Q13" s="64">
        <v>171.0800000000001</v>
      </c>
      <c r="R13" s="64">
        <v>150.26666666666671</v>
      </c>
      <c r="S13" s="64">
        <v>156.1450000000001</v>
      </c>
      <c r="T13" s="64">
        <v>77.079999999999984</v>
      </c>
      <c r="U13" s="64">
        <v>159.42333333333335</v>
      </c>
      <c r="V13" s="64">
        <v>214.36799999999999</v>
      </c>
      <c r="W13" s="64">
        <v>235.29000000000005</v>
      </c>
      <c r="X13" s="64">
        <v>196.00000000000006</v>
      </c>
      <c r="Y13" s="64">
        <v>192.85000000000008</v>
      </c>
      <c r="Z13" s="55"/>
    </row>
    <row r="14" spans="1:30" x14ac:dyDescent="0.3">
      <c r="A14" s="65"/>
      <c r="B14" s="47">
        <f t="shared" ref="B14:B35" si="1">B13+1</f>
        <v>3</v>
      </c>
      <c r="C14" s="54">
        <v>92.5</v>
      </c>
      <c r="D14" s="54">
        <v>138.26086956521746</v>
      </c>
      <c r="E14" s="54">
        <v>157.25</v>
      </c>
      <c r="F14" s="54">
        <v>73.828571428571394</v>
      </c>
      <c r="G14" s="54">
        <v>76.650500000000036</v>
      </c>
      <c r="H14" s="54">
        <v>100.15578947368415</v>
      </c>
      <c r="I14" s="54">
        <v>159.38666666666671</v>
      </c>
      <c r="J14" s="54">
        <v>214.69411764705887</v>
      </c>
      <c r="K14" s="54">
        <v>200.31812499999987</v>
      </c>
      <c r="L14" s="64">
        <v>192.09599999999989</v>
      </c>
      <c r="M14" s="64">
        <v>240.50000000000003</v>
      </c>
      <c r="N14" s="64">
        <v>269.92307692307685</v>
      </c>
      <c r="O14" s="64">
        <v>204.4250000000001</v>
      </c>
      <c r="P14" s="64">
        <v>210.26363636363644</v>
      </c>
      <c r="Q14" s="64">
        <v>165.62000000000009</v>
      </c>
      <c r="R14" s="64">
        <v>144.90000000000003</v>
      </c>
      <c r="S14" s="64">
        <v>150.71750000000009</v>
      </c>
      <c r="T14" s="64">
        <v>74.61999999999999</v>
      </c>
      <c r="U14" s="64">
        <v>154.63500000000002</v>
      </c>
      <c r="V14" s="64">
        <v>206.05200000000002</v>
      </c>
      <c r="W14" s="64">
        <v>226.43500000000006</v>
      </c>
      <c r="X14" s="64">
        <v>189.00000000000009</v>
      </c>
      <c r="Y14" s="55"/>
      <c r="Z14" s="55"/>
    </row>
    <row r="15" spans="1:30" x14ac:dyDescent="0.3">
      <c r="A15" s="65"/>
      <c r="B15" s="47">
        <f t="shared" si="1"/>
        <v>4</v>
      </c>
      <c r="C15" s="54">
        <v>90</v>
      </c>
      <c r="D15" s="54">
        <v>134.34782608695659</v>
      </c>
      <c r="E15" s="54">
        <v>153</v>
      </c>
      <c r="F15" s="54">
        <v>71.771428571428544</v>
      </c>
      <c r="G15" s="54">
        <v>74.534000000000034</v>
      </c>
      <c r="H15" s="54">
        <v>97.541052631578893</v>
      </c>
      <c r="I15" s="54">
        <v>155.18222222222226</v>
      </c>
      <c r="J15" s="54">
        <v>209.25882352941181</v>
      </c>
      <c r="K15" s="64">
        <v>194.75749999999988</v>
      </c>
      <c r="L15" s="64">
        <v>187.1279999999999</v>
      </c>
      <c r="M15" s="64">
        <v>234.00000000000003</v>
      </c>
      <c r="N15" s="64">
        <v>263.23076923076917</v>
      </c>
      <c r="O15" s="64">
        <v>198.90000000000009</v>
      </c>
      <c r="P15" s="64">
        <v>204.01818181818189</v>
      </c>
      <c r="Q15" s="64">
        <v>160.16000000000008</v>
      </c>
      <c r="R15" s="64">
        <v>139.53333333333336</v>
      </c>
      <c r="S15" s="64">
        <v>145.29000000000008</v>
      </c>
      <c r="T15" s="64">
        <v>72.16</v>
      </c>
      <c r="U15" s="64">
        <v>149.84666666666669</v>
      </c>
      <c r="V15" s="64">
        <v>197.73600000000005</v>
      </c>
      <c r="W15" s="64">
        <v>217.58000000000007</v>
      </c>
      <c r="X15" s="55"/>
      <c r="Y15" s="55"/>
      <c r="Z15" s="55"/>
    </row>
    <row r="16" spans="1:30" x14ac:dyDescent="0.3">
      <c r="A16" s="65"/>
      <c r="B16" s="47">
        <f t="shared" si="1"/>
        <v>5</v>
      </c>
      <c r="C16" s="54">
        <v>87.5</v>
      </c>
      <c r="D16" s="54">
        <v>130.43478260869571</v>
      </c>
      <c r="E16" s="54">
        <v>148.75</v>
      </c>
      <c r="F16" s="54">
        <v>69.714285714285694</v>
      </c>
      <c r="G16" s="54">
        <v>72.417500000000032</v>
      </c>
      <c r="H16" s="54">
        <v>94.926315789473634</v>
      </c>
      <c r="I16" s="54">
        <v>150.97777777777782</v>
      </c>
      <c r="J16" s="64">
        <v>203.82352941176475</v>
      </c>
      <c r="K16" s="64">
        <v>189.19687499999989</v>
      </c>
      <c r="L16" s="64">
        <v>182.15999999999991</v>
      </c>
      <c r="M16" s="64">
        <v>227.50000000000003</v>
      </c>
      <c r="N16" s="64">
        <v>256.53846153846149</v>
      </c>
      <c r="O16" s="64">
        <v>193.37500000000009</v>
      </c>
      <c r="P16" s="64">
        <v>197.77272727272734</v>
      </c>
      <c r="Q16" s="64">
        <v>154.70000000000007</v>
      </c>
      <c r="R16" s="64">
        <v>134.16666666666669</v>
      </c>
      <c r="S16" s="64">
        <v>139.86250000000007</v>
      </c>
      <c r="T16" s="64">
        <v>69.7</v>
      </c>
      <c r="U16" s="64">
        <v>145.05833333333337</v>
      </c>
      <c r="V16" s="64">
        <v>189.42000000000007</v>
      </c>
      <c r="W16" s="55"/>
      <c r="X16" s="55"/>
      <c r="Y16" s="55"/>
      <c r="Z16" s="55"/>
    </row>
    <row r="17" spans="1:26" x14ac:dyDescent="0.3">
      <c r="A17" s="65"/>
      <c r="B17" s="47">
        <f t="shared" si="1"/>
        <v>6</v>
      </c>
      <c r="C17" s="54">
        <v>85</v>
      </c>
      <c r="D17" s="54">
        <v>126.52173913043485</v>
      </c>
      <c r="E17" s="54">
        <v>144.5</v>
      </c>
      <c r="F17" s="54">
        <v>67.657142857142844</v>
      </c>
      <c r="G17" s="54">
        <v>70.30100000000003</v>
      </c>
      <c r="H17" s="54">
        <v>92.311578947368375</v>
      </c>
      <c r="I17" s="64">
        <v>146.77333333333337</v>
      </c>
      <c r="J17" s="64">
        <v>198.38823529411769</v>
      </c>
      <c r="K17" s="64">
        <v>183.6362499999999</v>
      </c>
      <c r="L17" s="64">
        <v>177.19199999999992</v>
      </c>
      <c r="M17" s="64">
        <v>221.00000000000003</v>
      </c>
      <c r="N17" s="64">
        <v>249.84615384615381</v>
      </c>
      <c r="O17" s="64">
        <v>187.85000000000008</v>
      </c>
      <c r="P17" s="64">
        <v>191.52727272727279</v>
      </c>
      <c r="Q17" s="64">
        <v>149.24000000000007</v>
      </c>
      <c r="R17" s="64">
        <v>128.80000000000001</v>
      </c>
      <c r="S17" s="64">
        <v>134.43500000000006</v>
      </c>
      <c r="T17" s="64">
        <v>67.240000000000009</v>
      </c>
      <c r="U17" s="64">
        <v>140.27000000000004</v>
      </c>
      <c r="V17" s="55"/>
      <c r="W17" s="55"/>
      <c r="X17" s="55"/>
      <c r="Y17" s="55"/>
      <c r="Z17" s="55"/>
    </row>
    <row r="18" spans="1:26" x14ac:dyDescent="0.3">
      <c r="A18" s="65"/>
      <c r="B18" s="47">
        <f t="shared" si="1"/>
        <v>7</v>
      </c>
      <c r="C18" s="54">
        <v>82.5</v>
      </c>
      <c r="D18" s="54">
        <v>122.60869565217398</v>
      </c>
      <c r="E18" s="54">
        <v>140.25</v>
      </c>
      <c r="F18" s="54">
        <v>65.599999999999994</v>
      </c>
      <c r="G18" s="54">
        <v>68.184500000000028</v>
      </c>
      <c r="H18" s="64">
        <v>89.696842105263116</v>
      </c>
      <c r="I18" s="64">
        <v>142.56888888888892</v>
      </c>
      <c r="J18" s="64">
        <v>192.95294117647063</v>
      </c>
      <c r="K18" s="64">
        <v>178.07562499999992</v>
      </c>
      <c r="L18" s="64">
        <v>172.22399999999993</v>
      </c>
      <c r="M18" s="64">
        <v>214.50000000000003</v>
      </c>
      <c r="N18" s="64">
        <v>243.15384615384613</v>
      </c>
      <c r="O18" s="64">
        <v>182.32500000000007</v>
      </c>
      <c r="P18" s="64">
        <v>185.28181818181824</v>
      </c>
      <c r="Q18" s="64">
        <v>143.78000000000006</v>
      </c>
      <c r="R18" s="64">
        <v>123.43333333333335</v>
      </c>
      <c r="S18" s="64">
        <v>129.00750000000005</v>
      </c>
      <c r="T18" s="64">
        <v>64.780000000000015</v>
      </c>
      <c r="U18" s="55"/>
      <c r="V18" s="55"/>
      <c r="W18" s="55"/>
      <c r="X18" s="55"/>
      <c r="Y18" s="55"/>
      <c r="Z18" s="55"/>
    </row>
    <row r="19" spans="1:26" x14ac:dyDescent="0.3">
      <c r="A19" s="65"/>
      <c r="B19" s="47">
        <f t="shared" si="1"/>
        <v>8</v>
      </c>
      <c r="C19" s="54">
        <v>80</v>
      </c>
      <c r="D19" s="54">
        <v>118.6956521739131</v>
      </c>
      <c r="E19" s="54">
        <v>136</v>
      </c>
      <c r="F19" s="54">
        <v>63.542857142857144</v>
      </c>
      <c r="G19" s="64">
        <v>66.068000000000026</v>
      </c>
      <c r="H19" s="64">
        <v>87.082105263157857</v>
      </c>
      <c r="I19" s="64">
        <v>138.36444444444447</v>
      </c>
      <c r="J19" s="64">
        <v>187.51764705882357</v>
      </c>
      <c r="K19" s="64">
        <v>172.51499999999993</v>
      </c>
      <c r="L19" s="64">
        <v>167.25599999999994</v>
      </c>
      <c r="M19" s="64">
        <v>208.00000000000003</v>
      </c>
      <c r="N19" s="64">
        <v>236.46153846153845</v>
      </c>
      <c r="O19" s="64">
        <v>176.80000000000007</v>
      </c>
      <c r="P19" s="64">
        <v>179.03636363636369</v>
      </c>
      <c r="Q19" s="64">
        <v>138.32000000000005</v>
      </c>
      <c r="R19" s="64">
        <v>118.06666666666669</v>
      </c>
      <c r="S19" s="64">
        <v>123.58000000000004</v>
      </c>
      <c r="T19" s="55"/>
      <c r="U19" s="55"/>
      <c r="V19" s="55"/>
      <c r="W19" s="55"/>
      <c r="X19" s="55"/>
      <c r="Y19" s="55"/>
      <c r="Z19" s="55"/>
    </row>
    <row r="20" spans="1:26" x14ac:dyDescent="0.3">
      <c r="A20" s="65"/>
      <c r="B20" s="47">
        <f t="shared" si="1"/>
        <v>9</v>
      </c>
      <c r="C20" s="54">
        <v>77.5</v>
      </c>
      <c r="D20" s="54">
        <v>114.78260869565223</v>
      </c>
      <c r="E20" s="54">
        <v>131.75</v>
      </c>
      <c r="F20" s="64">
        <v>61.485714285714288</v>
      </c>
      <c r="G20" s="64">
        <v>63.951500000000024</v>
      </c>
      <c r="H20" s="64">
        <v>84.467368421052598</v>
      </c>
      <c r="I20" s="64">
        <v>134.16000000000003</v>
      </c>
      <c r="J20" s="64">
        <v>182.08235294117651</v>
      </c>
      <c r="K20" s="64">
        <v>166.95437499999994</v>
      </c>
      <c r="L20" s="64">
        <v>162.28799999999995</v>
      </c>
      <c r="M20" s="64">
        <v>201.50000000000003</v>
      </c>
      <c r="N20" s="64">
        <v>229.76923076923077</v>
      </c>
      <c r="O20" s="64">
        <v>171.27500000000006</v>
      </c>
      <c r="P20" s="64">
        <v>172.79090909090914</v>
      </c>
      <c r="Q20" s="64">
        <v>132.86000000000004</v>
      </c>
      <c r="R20" s="64">
        <v>112.70000000000003</v>
      </c>
      <c r="S20" s="54"/>
      <c r="T20" s="55"/>
      <c r="U20" s="55"/>
      <c r="V20" s="55"/>
      <c r="W20" s="55"/>
      <c r="X20" s="55"/>
      <c r="Y20" s="55"/>
      <c r="Z20" s="55"/>
    </row>
    <row r="21" spans="1:26" x14ac:dyDescent="0.3">
      <c r="A21" s="65"/>
      <c r="B21" s="47">
        <f t="shared" si="1"/>
        <v>10</v>
      </c>
      <c r="C21" s="54">
        <v>75</v>
      </c>
      <c r="D21" s="54">
        <v>110.86956521739135</v>
      </c>
      <c r="E21" s="64">
        <v>127.5</v>
      </c>
      <c r="F21" s="64">
        <v>59.428571428571431</v>
      </c>
      <c r="G21" s="64">
        <v>61.835000000000022</v>
      </c>
      <c r="H21" s="64">
        <v>81.852631578947339</v>
      </c>
      <c r="I21" s="64">
        <v>129.95555555555558</v>
      </c>
      <c r="J21" s="64">
        <v>176.64705882352945</v>
      </c>
      <c r="K21" s="64">
        <v>161.39374999999995</v>
      </c>
      <c r="L21" s="64">
        <v>157.31999999999996</v>
      </c>
      <c r="M21" s="64">
        <v>195.00000000000003</v>
      </c>
      <c r="N21" s="64">
        <v>223.07692307692309</v>
      </c>
      <c r="O21" s="64">
        <v>165.75000000000006</v>
      </c>
      <c r="P21" s="64">
        <v>166.54545454545459</v>
      </c>
      <c r="Q21" s="64">
        <v>127.40000000000003</v>
      </c>
      <c r="R21" s="54"/>
      <c r="S21" s="54"/>
      <c r="T21" s="54"/>
      <c r="U21" s="54"/>
      <c r="V21" s="54"/>
      <c r="W21" s="54"/>
      <c r="X21" s="54"/>
      <c r="Y21" s="54"/>
      <c r="Z21" s="54"/>
    </row>
    <row r="22" spans="1:26" x14ac:dyDescent="0.3">
      <c r="A22" s="65"/>
      <c r="B22" s="47">
        <f t="shared" si="1"/>
        <v>11</v>
      </c>
      <c r="C22" s="54">
        <v>72.5</v>
      </c>
      <c r="D22" s="64">
        <v>106.95652173913048</v>
      </c>
      <c r="E22" s="64">
        <v>123.25</v>
      </c>
      <c r="F22" s="64">
        <v>57.371428571428574</v>
      </c>
      <c r="G22" s="64">
        <v>59.71850000000002</v>
      </c>
      <c r="H22" s="64">
        <v>79.23789473684208</v>
      </c>
      <c r="I22" s="64">
        <v>125.75111111111114</v>
      </c>
      <c r="J22" s="64">
        <v>171.21176470588239</v>
      </c>
      <c r="K22" s="64">
        <v>155.83312499999997</v>
      </c>
      <c r="L22" s="64">
        <v>152.35199999999998</v>
      </c>
      <c r="M22" s="64">
        <v>188.50000000000003</v>
      </c>
      <c r="N22" s="64">
        <v>216.38461538461542</v>
      </c>
      <c r="O22" s="64">
        <v>160.22500000000005</v>
      </c>
      <c r="P22" s="64">
        <v>160.30000000000004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x14ac:dyDescent="0.3">
      <c r="A23" s="65"/>
      <c r="B23" s="47">
        <f t="shared" si="1"/>
        <v>12</v>
      </c>
      <c r="C23" s="64">
        <v>70</v>
      </c>
      <c r="D23" s="64">
        <v>103.04347826086961</v>
      </c>
      <c r="E23" s="64">
        <v>119</v>
      </c>
      <c r="F23" s="64">
        <v>55.314285714285717</v>
      </c>
      <c r="G23" s="64">
        <v>57.602000000000018</v>
      </c>
      <c r="H23" s="64">
        <v>76.623157894736821</v>
      </c>
      <c r="I23" s="64">
        <v>121.5466666666667</v>
      </c>
      <c r="J23" s="64">
        <v>165.77647058823533</v>
      </c>
      <c r="K23" s="64">
        <v>150.27249999999998</v>
      </c>
      <c r="L23" s="64">
        <v>147.38399999999999</v>
      </c>
      <c r="M23" s="64">
        <v>182.00000000000003</v>
      </c>
      <c r="N23" s="64">
        <v>209.69230769230774</v>
      </c>
      <c r="O23" s="64">
        <v>154.70000000000005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x14ac:dyDescent="0.3">
      <c r="A24" s="65"/>
      <c r="B24" s="47">
        <f t="shared" si="1"/>
        <v>13</v>
      </c>
      <c r="C24" s="64">
        <v>67.5</v>
      </c>
      <c r="D24" s="64">
        <v>99.130434782608731</v>
      </c>
      <c r="E24" s="64">
        <v>114.75</v>
      </c>
      <c r="F24" s="64">
        <v>53.25714285714286</v>
      </c>
      <c r="G24" s="64">
        <v>55.485500000000016</v>
      </c>
      <c r="H24" s="64">
        <v>74.008421052631562</v>
      </c>
      <c r="I24" s="64">
        <v>117.34222222222225</v>
      </c>
      <c r="J24" s="64">
        <v>160.34117647058827</v>
      </c>
      <c r="K24" s="64">
        <v>144.71187499999999</v>
      </c>
      <c r="L24" s="64">
        <v>142.416</v>
      </c>
      <c r="M24" s="64">
        <v>175.50000000000003</v>
      </c>
      <c r="N24" s="64">
        <v>203.00000000000006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x14ac:dyDescent="0.3">
      <c r="A25" s="65"/>
      <c r="B25" s="47">
        <f t="shared" si="1"/>
        <v>14</v>
      </c>
      <c r="C25" s="64">
        <v>65</v>
      </c>
      <c r="D25" s="64">
        <v>95.217391304347856</v>
      </c>
      <c r="E25" s="64">
        <v>110.5</v>
      </c>
      <c r="F25" s="64">
        <v>51.2</v>
      </c>
      <c r="G25" s="64">
        <v>53.369000000000014</v>
      </c>
      <c r="H25" s="64">
        <v>71.393684210526303</v>
      </c>
      <c r="I25" s="64">
        <v>113.1377777777778</v>
      </c>
      <c r="J25" s="64">
        <v>154.90588235294121</v>
      </c>
      <c r="K25" s="64">
        <v>139.15125</v>
      </c>
      <c r="L25" s="64">
        <v>137.44800000000001</v>
      </c>
      <c r="M25" s="64">
        <v>169.00000000000003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x14ac:dyDescent="0.3">
      <c r="A26" s="65"/>
      <c r="B26" s="47">
        <f t="shared" si="1"/>
        <v>15</v>
      </c>
      <c r="C26" s="64">
        <v>62.5</v>
      </c>
      <c r="D26" s="64">
        <v>91.304347826086982</v>
      </c>
      <c r="E26" s="64">
        <v>106.25</v>
      </c>
      <c r="F26" s="64">
        <v>49.142857142857146</v>
      </c>
      <c r="G26" s="64">
        <v>51.252500000000012</v>
      </c>
      <c r="H26" s="64">
        <v>68.778947368421044</v>
      </c>
      <c r="I26" s="64">
        <v>108.93333333333335</v>
      </c>
      <c r="J26" s="64">
        <v>149.47058823529414</v>
      </c>
      <c r="K26" s="64">
        <v>133.59062500000002</v>
      </c>
      <c r="L26" s="64">
        <v>132.48000000000002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x14ac:dyDescent="0.3">
      <c r="A27" s="65"/>
      <c r="B27" s="47">
        <f t="shared" si="1"/>
        <v>16</v>
      </c>
      <c r="C27" s="64">
        <v>60</v>
      </c>
      <c r="D27" s="64">
        <v>87.391304347826107</v>
      </c>
      <c r="E27" s="64">
        <v>102</v>
      </c>
      <c r="F27" s="64">
        <v>47.085714285714289</v>
      </c>
      <c r="G27" s="64">
        <v>49.13600000000001</v>
      </c>
      <c r="H27" s="64">
        <v>66.164210526315784</v>
      </c>
      <c r="I27" s="64">
        <v>104.7288888888889</v>
      </c>
      <c r="J27" s="64">
        <v>144.03529411764708</v>
      </c>
      <c r="K27" s="64">
        <v>128.03000000000003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x14ac:dyDescent="0.3">
      <c r="A28" s="65"/>
      <c r="B28" s="47">
        <f t="shared" si="1"/>
        <v>17</v>
      </c>
      <c r="C28" s="64">
        <v>57.5</v>
      </c>
      <c r="D28" s="64">
        <v>83.478260869565233</v>
      </c>
      <c r="E28" s="64">
        <v>97.75</v>
      </c>
      <c r="F28" s="64">
        <v>45.028571428571432</v>
      </c>
      <c r="G28" s="64">
        <v>47.019500000000008</v>
      </c>
      <c r="H28" s="64">
        <v>63.549473684210525</v>
      </c>
      <c r="I28" s="64">
        <v>100.52444444444446</v>
      </c>
      <c r="J28" s="64">
        <v>138.60000000000002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x14ac:dyDescent="0.3">
      <c r="A29" s="65"/>
      <c r="B29" s="47">
        <f t="shared" si="1"/>
        <v>18</v>
      </c>
      <c r="C29" s="64">
        <v>55</v>
      </c>
      <c r="D29" s="64">
        <v>79.565217391304358</v>
      </c>
      <c r="E29" s="64">
        <v>93.5</v>
      </c>
      <c r="F29" s="64">
        <v>42.971428571428575</v>
      </c>
      <c r="G29" s="64">
        <v>44.903000000000006</v>
      </c>
      <c r="H29" s="64">
        <v>60.934736842105266</v>
      </c>
      <c r="I29" s="64">
        <v>96.320000000000007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x14ac:dyDescent="0.3">
      <c r="A30" s="65"/>
      <c r="B30" s="47">
        <f t="shared" si="1"/>
        <v>19</v>
      </c>
      <c r="C30" s="64">
        <v>52.5</v>
      </c>
      <c r="D30" s="64">
        <v>75.652173913043484</v>
      </c>
      <c r="E30" s="64">
        <v>89.25</v>
      </c>
      <c r="F30" s="64">
        <v>40.914285714285718</v>
      </c>
      <c r="G30" s="64">
        <v>42.786500000000004</v>
      </c>
      <c r="H30" s="64">
        <v>58.320000000000007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x14ac:dyDescent="0.3">
      <c r="A31" s="65"/>
      <c r="B31" s="47">
        <f t="shared" si="1"/>
        <v>20</v>
      </c>
      <c r="C31" s="64">
        <v>50</v>
      </c>
      <c r="D31" s="64">
        <v>71.739130434782609</v>
      </c>
      <c r="E31" s="64">
        <v>85</v>
      </c>
      <c r="F31" s="64">
        <v>38.857142857142861</v>
      </c>
      <c r="G31" s="64">
        <v>40.67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x14ac:dyDescent="0.3">
      <c r="A32" s="65"/>
      <c r="B32" s="47">
        <f t="shared" si="1"/>
        <v>21</v>
      </c>
      <c r="C32" s="64">
        <v>47.5</v>
      </c>
      <c r="D32" s="64">
        <v>67.826086956521735</v>
      </c>
      <c r="E32" s="64">
        <v>80.75</v>
      </c>
      <c r="F32" s="64">
        <v>36.800000000000004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7" x14ac:dyDescent="0.3">
      <c r="A33" s="65"/>
      <c r="B33" s="47">
        <f t="shared" si="1"/>
        <v>22</v>
      </c>
      <c r="C33" s="64">
        <v>45</v>
      </c>
      <c r="D33" s="64">
        <v>63.913043478260867</v>
      </c>
      <c r="E33" s="64">
        <v>76.5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7" x14ac:dyDescent="0.3">
      <c r="A34" s="65"/>
      <c r="B34" s="47">
        <f t="shared" si="1"/>
        <v>23</v>
      </c>
      <c r="C34" s="64">
        <v>42.5</v>
      </c>
      <c r="D34" s="64">
        <v>60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7" x14ac:dyDescent="0.3">
      <c r="A35" s="65"/>
      <c r="B35" s="47">
        <f t="shared" si="1"/>
        <v>24</v>
      </c>
      <c r="C35" s="64">
        <v>40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7" x14ac:dyDescent="0.3">
      <c r="B36" s="47" t="s">
        <v>71</v>
      </c>
      <c r="C36" s="54">
        <f>C35</f>
        <v>40</v>
      </c>
      <c r="D36" s="54">
        <f>D34</f>
        <v>60</v>
      </c>
      <c r="E36" s="54">
        <f>E33</f>
        <v>76.5</v>
      </c>
      <c r="F36" s="54">
        <f>F32</f>
        <v>36.800000000000004</v>
      </c>
      <c r="G36" s="54">
        <f>G31</f>
        <v>40.67</v>
      </c>
      <c r="H36" s="54">
        <f>H30</f>
        <v>58.320000000000007</v>
      </c>
      <c r="I36" s="54">
        <f>I29</f>
        <v>96.320000000000007</v>
      </c>
      <c r="J36" s="54">
        <f>J28</f>
        <v>138.60000000000002</v>
      </c>
      <c r="K36" s="54">
        <f>K27</f>
        <v>128.03000000000003</v>
      </c>
      <c r="L36" s="54">
        <f>L26</f>
        <v>132.48000000000002</v>
      </c>
      <c r="M36" s="54">
        <f>M25</f>
        <v>169.00000000000003</v>
      </c>
      <c r="N36" s="54">
        <f>N24</f>
        <v>203.00000000000006</v>
      </c>
      <c r="O36" s="54">
        <f>O23</f>
        <v>154.70000000000005</v>
      </c>
      <c r="P36" s="54">
        <f>P22</f>
        <v>160.30000000000004</v>
      </c>
      <c r="Q36" s="54">
        <f>Q21</f>
        <v>127.40000000000003</v>
      </c>
      <c r="R36" s="54">
        <f>R20</f>
        <v>112.70000000000003</v>
      </c>
      <c r="S36" s="54">
        <f>S19</f>
        <v>123.58000000000004</v>
      </c>
      <c r="T36" s="54">
        <f>T18</f>
        <v>64.780000000000015</v>
      </c>
      <c r="U36" s="54">
        <f>U17</f>
        <v>140.27000000000004</v>
      </c>
      <c r="V36" s="54">
        <f>V16</f>
        <v>189.42000000000007</v>
      </c>
      <c r="W36" s="54">
        <f>W15</f>
        <v>217.58000000000007</v>
      </c>
      <c r="X36" s="54">
        <f>X14</f>
        <v>189.00000000000009</v>
      </c>
      <c r="Y36" s="54">
        <f>Y13</f>
        <v>192.85000000000008</v>
      </c>
      <c r="Z36" s="54">
        <f>Z12</f>
        <v>187.21000000000009</v>
      </c>
      <c r="AA36" s="56"/>
    </row>
    <row r="37" spans="1:27" x14ac:dyDescent="0.3">
      <c r="B37" s="50" t="s">
        <v>74</v>
      </c>
      <c r="C37" s="62">
        <f t="shared" ref="C37:Z37" si="2">C36/C11</f>
        <v>0.4</v>
      </c>
      <c r="D37" s="62">
        <f t="shared" si="2"/>
        <v>0.4</v>
      </c>
      <c r="E37" s="62">
        <f t="shared" si="2"/>
        <v>0.45</v>
      </c>
      <c r="F37" s="62">
        <f t="shared" si="2"/>
        <v>0.46000000000000008</v>
      </c>
      <c r="G37" s="62">
        <f t="shared" si="2"/>
        <v>0.49000000000000005</v>
      </c>
      <c r="H37" s="62">
        <f t="shared" si="2"/>
        <v>0.54</v>
      </c>
      <c r="I37" s="62">
        <f t="shared" si="2"/>
        <v>0.56000000000000005</v>
      </c>
      <c r="J37" s="62">
        <f t="shared" si="2"/>
        <v>0.60000000000000009</v>
      </c>
      <c r="K37" s="62">
        <f t="shared" si="2"/>
        <v>0.59000000000000019</v>
      </c>
      <c r="L37" s="62">
        <f t="shared" si="2"/>
        <v>0.64000000000000012</v>
      </c>
      <c r="M37" s="62">
        <f t="shared" si="2"/>
        <v>0.65000000000000013</v>
      </c>
      <c r="N37" s="62">
        <f t="shared" si="2"/>
        <v>0.70000000000000018</v>
      </c>
      <c r="O37" s="62">
        <f t="shared" si="2"/>
        <v>0.70000000000000018</v>
      </c>
      <c r="P37" s="62">
        <f t="shared" si="2"/>
        <v>0.70000000000000018</v>
      </c>
      <c r="Q37" s="62">
        <f t="shared" si="2"/>
        <v>0.70000000000000018</v>
      </c>
      <c r="R37" s="62">
        <f t="shared" si="2"/>
        <v>0.70000000000000018</v>
      </c>
      <c r="S37" s="62">
        <f t="shared" si="2"/>
        <v>0.74000000000000021</v>
      </c>
      <c r="T37" s="62">
        <f t="shared" si="2"/>
        <v>0.79000000000000015</v>
      </c>
      <c r="U37" s="62">
        <f t="shared" si="2"/>
        <v>0.83000000000000018</v>
      </c>
      <c r="V37" s="62">
        <f t="shared" si="2"/>
        <v>0.82000000000000028</v>
      </c>
      <c r="W37" s="62">
        <f t="shared" si="2"/>
        <v>0.86000000000000032</v>
      </c>
      <c r="X37" s="62">
        <f t="shared" si="2"/>
        <v>0.90000000000000036</v>
      </c>
      <c r="Y37" s="62">
        <f t="shared" si="2"/>
        <v>0.9500000000000004</v>
      </c>
      <c r="Z37" s="62">
        <f t="shared" si="2"/>
        <v>0.97000000000000053</v>
      </c>
    </row>
    <row r="38" spans="1:27" x14ac:dyDescent="0.3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7" x14ac:dyDescent="0.3">
      <c r="A39" s="50" t="s">
        <v>80</v>
      </c>
      <c r="B39" s="50" t="s">
        <v>75</v>
      </c>
      <c r="C39" s="49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1" spans="1:27" ht="20.399999999999999" x14ac:dyDescent="0.3">
      <c r="B41" s="51" t="str">
        <f t="shared" ref="B41:Z41" si="3">B10</f>
        <v>Generations of defaults=&gt;</v>
      </c>
      <c r="C41" s="52">
        <f t="shared" si="3"/>
        <v>42736</v>
      </c>
      <c r="D41" s="52">
        <f t="shared" si="3"/>
        <v>42767</v>
      </c>
      <c r="E41" s="52">
        <f t="shared" si="3"/>
        <v>42795</v>
      </c>
      <c r="F41" s="52">
        <f t="shared" si="3"/>
        <v>42826</v>
      </c>
      <c r="G41" s="52">
        <f t="shared" si="3"/>
        <v>42856</v>
      </c>
      <c r="H41" s="52">
        <f t="shared" si="3"/>
        <v>42887</v>
      </c>
      <c r="I41" s="52">
        <f t="shared" si="3"/>
        <v>42917</v>
      </c>
      <c r="J41" s="52">
        <f t="shared" si="3"/>
        <v>42948</v>
      </c>
      <c r="K41" s="52">
        <f t="shared" si="3"/>
        <v>42979</v>
      </c>
      <c r="L41" s="52">
        <f t="shared" si="3"/>
        <v>43009</v>
      </c>
      <c r="M41" s="52">
        <f t="shared" si="3"/>
        <v>43040</v>
      </c>
      <c r="N41" s="52">
        <f t="shared" si="3"/>
        <v>43070</v>
      </c>
      <c r="O41" s="52">
        <f t="shared" si="3"/>
        <v>43101</v>
      </c>
      <c r="P41" s="52">
        <f t="shared" si="3"/>
        <v>43132</v>
      </c>
      <c r="Q41" s="52">
        <f t="shared" si="3"/>
        <v>43160</v>
      </c>
      <c r="R41" s="52">
        <f t="shared" si="3"/>
        <v>43191</v>
      </c>
      <c r="S41" s="52">
        <f t="shared" si="3"/>
        <v>43221</v>
      </c>
      <c r="T41" s="52">
        <f t="shared" si="3"/>
        <v>43252</v>
      </c>
      <c r="U41" s="52">
        <f t="shared" si="3"/>
        <v>43282</v>
      </c>
      <c r="V41" s="52">
        <f t="shared" si="3"/>
        <v>43313</v>
      </c>
      <c r="W41" s="52">
        <f t="shared" si="3"/>
        <v>43344</v>
      </c>
      <c r="X41" s="52">
        <f t="shared" si="3"/>
        <v>43374</v>
      </c>
      <c r="Y41" s="52">
        <f t="shared" si="3"/>
        <v>43405</v>
      </c>
      <c r="Z41" s="52">
        <f t="shared" si="3"/>
        <v>43435</v>
      </c>
      <c r="AA41" s="60" t="s">
        <v>76</v>
      </c>
    </row>
    <row r="42" spans="1:27" x14ac:dyDescent="0.3">
      <c r="B42" s="53" t="str">
        <f t="shared" ref="B42" si="4">B11</f>
        <v>Balance at the default date</v>
      </c>
      <c r="C42" s="54">
        <f t="shared" ref="C42:Z42" si="5">C11</f>
        <v>100</v>
      </c>
      <c r="D42" s="54">
        <f t="shared" si="5"/>
        <v>150</v>
      </c>
      <c r="E42" s="54">
        <f t="shared" si="5"/>
        <v>170</v>
      </c>
      <c r="F42" s="54">
        <f t="shared" si="5"/>
        <v>80</v>
      </c>
      <c r="G42" s="54">
        <f t="shared" si="5"/>
        <v>83</v>
      </c>
      <c r="H42" s="54">
        <f t="shared" si="5"/>
        <v>108</v>
      </c>
      <c r="I42" s="54">
        <f t="shared" si="5"/>
        <v>172</v>
      </c>
      <c r="J42" s="54">
        <f t="shared" si="5"/>
        <v>231</v>
      </c>
      <c r="K42" s="54">
        <f t="shared" si="5"/>
        <v>217</v>
      </c>
      <c r="L42" s="54">
        <f t="shared" si="5"/>
        <v>207</v>
      </c>
      <c r="M42" s="54">
        <f t="shared" si="5"/>
        <v>260</v>
      </c>
      <c r="N42" s="54">
        <f t="shared" si="5"/>
        <v>290</v>
      </c>
      <c r="O42" s="54">
        <f t="shared" si="5"/>
        <v>221</v>
      </c>
      <c r="P42" s="54">
        <f t="shared" si="5"/>
        <v>229</v>
      </c>
      <c r="Q42" s="54">
        <f t="shared" si="5"/>
        <v>182</v>
      </c>
      <c r="R42" s="54">
        <f t="shared" si="5"/>
        <v>161</v>
      </c>
      <c r="S42" s="54">
        <f t="shared" si="5"/>
        <v>167</v>
      </c>
      <c r="T42" s="54">
        <f t="shared" si="5"/>
        <v>82</v>
      </c>
      <c r="U42" s="54">
        <f t="shared" si="5"/>
        <v>169</v>
      </c>
      <c r="V42" s="54">
        <f t="shared" si="5"/>
        <v>231</v>
      </c>
      <c r="W42" s="54">
        <f t="shared" si="5"/>
        <v>253</v>
      </c>
      <c r="X42" s="54">
        <f t="shared" si="5"/>
        <v>210</v>
      </c>
      <c r="Y42" s="54">
        <f t="shared" si="5"/>
        <v>203</v>
      </c>
      <c r="Z42" s="54">
        <f t="shared" si="5"/>
        <v>193</v>
      </c>
      <c r="AA42" s="54"/>
    </row>
    <row r="43" spans="1:27" x14ac:dyDescent="0.3">
      <c r="B43" s="47">
        <f t="shared" ref="B43:B66" si="6">B12</f>
        <v>1</v>
      </c>
      <c r="C43" s="54">
        <f t="shared" ref="C43:Z43" si="7">C11-C12</f>
        <v>2.5</v>
      </c>
      <c r="D43" s="54">
        <f t="shared" si="7"/>
        <v>3.9130434782607892</v>
      </c>
      <c r="E43" s="54">
        <f t="shared" si="7"/>
        <v>4.25</v>
      </c>
      <c r="F43" s="54">
        <f t="shared" si="7"/>
        <v>2.0571428571429067</v>
      </c>
      <c r="G43" s="54">
        <f t="shared" si="7"/>
        <v>2.1164999999999594</v>
      </c>
      <c r="H43" s="54">
        <f t="shared" si="7"/>
        <v>2.6147368421053301</v>
      </c>
      <c r="I43" s="54">
        <f t="shared" si="7"/>
        <v>4.2044444444443911</v>
      </c>
      <c r="J43" s="54">
        <f t="shared" si="7"/>
        <v>5.435294117647004</v>
      </c>
      <c r="K43" s="54">
        <f t="shared" si="7"/>
        <v>5.560625000000158</v>
      </c>
      <c r="L43" s="54">
        <f t="shared" si="7"/>
        <v>4.9680000000001314</v>
      </c>
      <c r="M43" s="54">
        <f t="shared" si="7"/>
        <v>6.4999999999999716</v>
      </c>
      <c r="N43" s="54">
        <f t="shared" si="7"/>
        <v>6.6923076923077929</v>
      </c>
      <c r="O43" s="54">
        <f t="shared" si="7"/>
        <v>5.524999999999892</v>
      </c>
      <c r="P43" s="54">
        <f t="shared" si="7"/>
        <v>6.2454545454544643</v>
      </c>
      <c r="Q43" s="54">
        <f t="shared" si="7"/>
        <v>5.4599999999998943</v>
      </c>
      <c r="R43" s="54">
        <f t="shared" si="7"/>
        <v>5.3666666666666174</v>
      </c>
      <c r="S43" s="54">
        <f t="shared" si="7"/>
        <v>5.4274999999998954</v>
      </c>
      <c r="T43" s="54">
        <f t="shared" si="7"/>
        <v>2.4600000000000222</v>
      </c>
      <c r="U43" s="54">
        <f t="shared" si="7"/>
        <v>4.7883333333333269</v>
      </c>
      <c r="V43" s="54">
        <f t="shared" si="7"/>
        <v>8.3160000000000309</v>
      </c>
      <c r="W43" s="54">
        <f t="shared" si="7"/>
        <v>8.8549999999999613</v>
      </c>
      <c r="X43" s="54">
        <f t="shared" si="7"/>
        <v>6.9999999999999716</v>
      </c>
      <c r="Y43" s="54">
        <f t="shared" si="7"/>
        <v>5.0749999999999602</v>
      </c>
      <c r="Z43" s="54">
        <f t="shared" si="7"/>
        <v>5.7899999999999068</v>
      </c>
      <c r="AA43" s="58">
        <f t="shared" ref="AA43:AA66" si="8">1/((1+$C$6)^(B12/12))</f>
        <v>0.9884207332283691</v>
      </c>
    </row>
    <row r="44" spans="1:27" x14ac:dyDescent="0.3">
      <c r="B44" s="47">
        <f t="shared" si="6"/>
        <v>2</v>
      </c>
      <c r="C44" s="54">
        <f t="shared" ref="C44:Y44" si="9">C12-C13</f>
        <v>2.5</v>
      </c>
      <c r="D44" s="54">
        <f t="shared" si="9"/>
        <v>3.9130434782608745</v>
      </c>
      <c r="E44" s="54">
        <f t="shared" si="9"/>
        <v>4.25</v>
      </c>
      <c r="F44" s="54">
        <f t="shared" si="9"/>
        <v>2.0571428571428498</v>
      </c>
      <c r="G44" s="54">
        <f t="shared" si="9"/>
        <v>2.116500000000002</v>
      </c>
      <c r="H44" s="54">
        <f t="shared" si="9"/>
        <v>2.614736842105259</v>
      </c>
      <c r="I44" s="54">
        <f t="shared" si="9"/>
        <v>4.204444444444448</v>
      </c>
      <c r="J44" s="54">
        <f t="shared" si="9"/>
        <v>5.4352941176470608</v>
      </c>
      <c r="K44" s="54">
        <f t="shared" si="9"/>
        <v>5.5606249999999875</v>
      </c>
      <c r="L44" s="54">
        <f t="shared" si="9"/>
        <v>4.9679999999999893</v>
      </c>
      <c r="M44" s="54">
        <f t="shared" si="9"/>
        <v>6.5</v>
      </c>
      <c r="N44" s="54">
        <f t="shared" si="9"/>
        <v>6.6923076923076792</v>
      </c>
      <c r="O44" s="54">
        <f t="shared" si="9"/>
        <v>5.5250000000000057</v>
      </c>
      <c r="P44" s="54">
        <f t="shared" si="9"/>
        <v>6.2454545454545496</v>
      </c>
      <c r="Q44" s="54">
        <f t="shared" si="9"/>
        <v>5.460000000000008</v>
      </c>
      <c r="R44" s="54">
        <f t="shared" si="9"/>
        <v>5.3666666666666742</v>
      </c>
      <c r="S44" s="54">
        <f t="shared" si="9"/>
        <v>5.4275000000000091</v>
      </c>
      <c r="T44" s="54">
        <f t="shared" si="9"/>
        <v>2.4599999999999937</v>
      </c>
      <c r="U44" s="54">
        <f t="shared" si="9"/>
        <v>4.7883333333333269</v>
      </c>
      <c r="V44" s="54">
        <f t="shared" si="9"/>
        <v>8.3159999999999741</v>
      </c>
      <c r="W44" s="54">
        <f t="shared" si="9"/>
        <v>8.8549999999999898</v>
      </c>
      <c r="X44" s="54">
        <f t="shared" si="9"/>
        <v>6.9999999999999716</v>
      </c>
      <c r="Y44" s="54">
        <f t="shared" si="9"/>
        <v>5.0749999999999602</v>
      </c>
      <c r="Z44" s="54"/>
      <c r="AA44" s="58">
        <f t="shared" si="8"/>
        <v>0.9769755458757069</v>
      </c>
    </row>
    <row r="45" spans="1:27" x14ac:dyDescent="0.3">
      <c r="B45" s="47">
        <f t="shared" si="6"/>
        <v>3</v>
      </c>
      <c r="C45" s="54">
        <f t="shared" ref="C45:X45" si="10">C13-C14</f>
        <v>2.5</v>
      </c>
      <c r="D45" s="54">
        <f t="shared" si="10"/>
        <v>3.9130434782608745</v>
      </c>
      <c r="E45" s="54">
        <f t="shared" si="10"/>
        <v>4.25</v>
      </c>
      <c r="F45" s="54">
        <f t="shared" si="10"/>
        <v>2.0571428571428498</v>
      </c>
      <c r="G45" s="54">
        <f t="shared" si="10"/>
        <v>2.116500000000002</v>
      </c>
      <c r="H45" s="54">
        <f t="shared" si="10"/>
        <v>2.614736842105259</v>
      </c>
      <c r="I45" s="54">
        <f t="shared" si="10"/>
        <v>4.204444444444448</v>
      </c>
      <c r="J45" s="54">
        <f t="shared" si="10"/>
        <v>5.4352941176470608</v>
      </c>
      <c r="K45" s="54">
        <f t="shared" si="10"/>
        <v>5.5606249999999875</v>
      </c>
      <c r="L45" s="54">
        <f t="shared" si="10"/>
        <v>4.9679999999999893</v>
      </c>
      <c r="M45" s="54">
        <f t="shared" si="10"/>
        <v>6.5</v>
      </c>
      <c r="N45" s="54">
        <f t="shared" si="10"/>
        <v>6.6923076923076792</v>
      </c>
      <c r="O45" s="54">
        <f t="shared" si="10"/>
        <v>5.5250000000000057</v>
      </c>
      <c r="P45" s="54">
        <f t="shared" si="10"/>
        <v>6.2454545454545496</v>
      </c>
      <c r="Q45" s="54">
        <f t="shared" si="10"/>
        <v>5.460000000000008</v>
      </c>
      <c r="R45" s="54">
        <f t="shared" si="10"/>
        <v>5.3666666666666742</v>
      </c>
      <c r="S45" s="54">
        <f t="shared" si="10"/>
        <v>5.4275000000000091</v>
      </c>
      <c r="T45" s="54">
        <f t="shared" si="10"/>
        <v>2.4599999999999937</v>
      </c>
      <c r="U45" s="54">
        <f t="shared" si="10"/>
        <v>4.7883333333333269</v>
      </c>
      <c r="V45" s="54">
        <f t="shared" si="10"/>
        <v>8.3159999999999741</v>
      </c>
      <c r="W45" s="54">
        <f t="shared" si="10"/>
        <v>8.8549999999999898</v>
      </c>
      <c r="X45" s="54">
        <f t="shared" si="10"/>
        <v>6.9999999999999716</v>
      </c>
      <c r="Y45" s="54"/>
      <c r="Z45" s="54"/>
      <c r="AA45" s="58">
        <f t="shared" si="8"/>
        <v>0.96566288540065248</v>
      </c>
    </row>
    <row r="46" spans="1:27" x14ac:dyDescent="0.3">
      <c r="B46" s="47">
        <f t="shared" si="6"/>
        <v>4</v>
      </c>
      <c r="C46" s="54">
        <f t="shared" ref="C46:W46" si="11">C14-C15</f>
        <v>2.5</v>
      </c>
      <c r="D46" s="54">
        <f t="shared" si="11"/>
        <v>3.9130434782608745</v>
      </c>
      <c r="E46" s="54">
        <f t="shared" si="11"/>
        <v>4.25</v>
      </c>
      <c r="F46" s="54">
        <f t="shared" si="11"/>
        <v>2.0571428571428498</v>
      </c>
      <c r="G46" s="54">
        <f t="shared" si="11"/>
        <v>2.116500000000002</v>
      </c>
      <c r="H46" s="54">
        <f t="shared" si="11"/>
        <v>2.614736842105259</v>
      </c>
      <c r="I46" s="54">
        <f t="shared" si="11"/>
        <v>4.204444444444448</v>
      </c>
      <c r="J46" s="54">
        <f t="shared" si="11"/>
        <v>5.4352941176470608</v>
      </c>
      <c r="K46" s="54">
        <f t="shared" si="11"/>
        <v>5.5606249999999875</v>
      </c>
      <c r="L46" s="54">
        <f t="shared" si="11"/>
        <v>4.9679999999999893</v>
      </c>
      <c r="M46" s="54">
        <f t="shared" si="11"/>
        <v>6.5</v>
      </c>
      <c r="N46" s="54">
        <f t="shared" si="11"/>
        <v>6.6923076923076792</v>
      </c>
      <c r="O46" s="54">
        <f t="shared" si="11"/>
        <v>5.5250000000000057</v>
      </c>
      <c r="P46" s="54">
        <f t="shared" si="11"/>
        <v>6.2454545454545496</v>
      </c>
      <c r="Q46" s="54">
        <f t="shared" si="11"/>
        <v>5.460000000000008</v>
      </c>
      <c r="R46" s="54">
        <f t="shared" si="11"/>
        <v>5.3666666666666742</v>
      </c>
      <c r="S46" s="54">
        <f t="shared" si="11"/>
        <v>5.4275000000000091</v>
      </c>
      <c r="T46" s="54">
        <f t="shared" si="11"/>
        <v>2.4599999999999937</v>
      </c>
      <c r="U46" s="54">
        <f t="shared" si="11"/>
        <v>4.7883333333333269</v>
      </c>
      <c r="V46" s="54">
        <f t="shared" si="11"/>
        <v>8.3159999999999741</v>
      </c>
      <c r="W46" s="54">
        <f t="shared" si="11"/>
        <v>8.8549999999999898</v>
      </c>
      <c r="X46" s="54"/>
      <c r="Y46" s="54"/>
      <c r="Z46" s="54"/>
      <c r="AA46" s="58">
        <f t="shared" si="8"/>
        <v>0.9544812172391357</v>
      </c>
    </row>
    <row r="47" spans="1:27" x14ac:dyDescent="0.3">
      <c r="B47" s="47">
        <f t="shared" si="6"/>
        <v>5</v>
      </c>
      <c r="C47" s="54">
        <f t="shared" ref="C47:V47" si="12">C15-C16</f>
        <v>2.5</v>
      </c>
      <c r="D47" s="54">
        <f t="shared" si="12"/>
        <v>3.9130434782608745</v>
      </c>
      <c r="E47" s="54">
        <f t="shared" si="12"/>
        <v>4.25</v>
      </c>
      <c r="F47" s="54">
        <f t="shared" si="12"/>
        <v>2.0571428571428498</v>
      </c>
      <c r="G47" s="54">
        <f t="shared" si="12"/>
        <v>2.116500000000002</v>
      </c>
      <c r="H47" s="54">
        <f t="shared" si="12"/>
        <v>2.614736842105259</v>
      </c>
      <c r="I47" s="54">
        <f t="shared" si="12"/>
        <v>4.204444444444448</v>
      </c>
      <c r="J47" s="54">
        <f t="shared" si="12"/>
        <v>5.4352941176470608</v>
      </c>
      <c r="K47" s="54">
        <f t="shared" si="12"/>
        <v>5.5606249999999875</v>
      </c>
      <c r="L47" s="54">
        <f t="shared" si="12"/>
        <v>4.9679999999999893</v>
      </c>
      <c r="M47" s="54">
        <f t="shared" si="12"/>
        <v>6.5</v>
      </c>
      <c r="N47" s="54">
        <f t="shared" si="12"/>
        <v>6.6923076923076792</v>
      </c>
      <c r="O47" s="54">
        <f t="shared" si="12"/>
        <v>5.5250000000000057</v>
      </c>
      <c r="P47" s="54">
        <f t="shared" si="12"/>
        <v>6.2454545454545496</v>
      </c>
      <c r="Q47" s="54">
        <f t="shared" si="12"/>
        <v>5.460000000000008</v>
      </c>
      <c r="R47" s="54">
        <f t="shared" si="12"/>
        <v>5.3666666666666742</v>
      </c>
      <c r="S47" s="54">
        <f t="shared" si="12"/>
        <v>5.4275000000000091</v>
      </c>
      <c r="T47" s="54">
        <f t="shared" si="12"/>
        <v>2.4599999999999937</v>
      </c>
      <c r="U47" s="54">
        <f t="shared" si="12"/>
        <v>4.7883333333333269</v>
      </c>
      <c r="V47" s="54">
        <f t="shared" si="12"/>
        <v>8.3159999999999741</v>
      </c>
      <c r="W47" s="54"/>
      <c r="X47" s="54"/>
      <c r="Y47" s="54"/>
      <c r="Z47" s="54"/>
      <c r="AA47" s="58">
        <f t="shared" si="8"/>
        <v>0.94342902459621281</v>
      </c>
    </row>
    <row r="48" spans="1:27" x14ac:dyDescent="0.3">
      <c r="B48" s="47">
        <f t="shared" si="6"/>
        <v>6</v>
      </c>
      <c r="C48" s="54">
        <f t="shared" ref="C48:U48" si="13">C16-C17</f>
        <v>2.5</v>
      </c>
      <c r="D48" s="54">
        <f t="shared" si="13"/>
        <v>3.9130434782608603</v>
      </c>
      <c r="E48" s="54">
        <f t="shared" si="13"/>
        <v>4.25</v>
      </c>
      <c r="F48" s="54">
        <f t="shared" si="13"/>
        <v>2.0571428571428498</v>
      </c>
      <c r="G48" s="54">
        <f t="shared" si="13"/>
        <v>2.116500000000002</v>
      </c>
      <c r="H48" s="54">
        <f t="shared" si="13"/>
        <v>2.614736842105259</v>
      </c>
      <c r="I48" s="54">
        <f t="shared" si="13"/>
        <v>4.204444444444448</v>
      </c>
      <c r="J48" s="54">
        <f t="shared" si="13"/>
        <v>5.4352941176470608</v>
      </c>
      <c r="K48" s="54">
        <f t="shared" si="13"/>
        <v>5.5606249999999875</v>
      </c>
      <c r="L48" s="54">
        <f t="shared" si="13"/>
        <v>4.9679999999999893</v>
      </c>
      <c r="M48" s="54">
        <f t="shared" si="13"/>
        <v>6.5</v>
      </c>
      <c r="N48" s="54">
        <f t="shared" si="13"/>
        <v>6.6923076923076792</v>
      </c>
      <c r="O48" s="54">
        <f t="shared" si="13"/>
        <v>5.5250000000000057</v>
      </c>
      <c r="P48" s="54">
        <f t="shared" si="13"/>
        <v>6.2454545454545496</v>
      </c>
      <c r="Q48" s="54">
        <f t="shared" si="13"/>
        <v>5.460000000000008</v>
      </c>
      <c r="R48" s="54">
        <f t="shared" si="13"/>
        <v>5.3666666666666742</v>
      </c>
      <c r="S48" s="54">
        <f t="shared" si="13"/>
        <v>5.4275000000000091</v>
      </c>
      <c r="T48" s="54">
        <f t="shared" si="13"/>
        <v>2.4599999999999937</v>
      </c>
      <c r="U48" s="54">
        <f t="shared" si="13"/>
        <v>4.7883333333333269</v>
      </c>
      <c r="V48" s="54"/>
      <c r="W48" s="54"/>
      <c r="X48" s="54"/>
      <c r="Y48" s="54"/>
      <c r="Z48" s="54"/>
      <c r="AA48" s="58">
        <f t="shared" si="8"/>
        <v>0.93250480824031379</v>
      </c>
    </row>
    <row r="49" spans="2:27" x14ac:dyDescent="0.3">
      <c r="B49" s="47">
        <f t="shared" si="6"/>
        <v>7</v>
      </c>
      <c r="C49" s="54">
        <f t="shared" ref="C49:T49" si="14">C17-C18</f>
        <v>2.5</v>
      </c>
      <c r="D49" s="54">
        <f t="shared" si="14"/>
        <v>3.9130434782608745</v>
      </c>
      <c r="E49" s="54">
        <f t="shared" si="14"/>
        <v>4.25</v>
      </c>
      <c r="F49" s="54">
        <f t="shared" si="14"/>
        <v>2.0571428571428498</v>
      </c>
      <c r="G49" s="54">
        <f t="shared" si="14"/>
        <v>2.116500000000002</v>
      </c>
      <c r="H49" s="54">
        <f t="shared" si="14"/>
        <v>2.614736842105259</v>
      </c>
      <c r="I49" s="54">
        <f t="shared" si="14"/>
        <v>4.204444444444448</v>
      </c>
      <c r="J49" s="54">
        <f t="shared" si="14"/>
        <v>5.4352941176470608</v>
      </c>
      <c r="K49" s="54">
        <f t="shared" si="14"/>
        <v>5.5606249999999875</v>
      </c>
      <c r="L49" s="54">
        <f t="shared" si="14"/>
        <v>4.9679999999999893</v>
      </c>
      <c r="M49" s="54">
        <f t="shared" si="14"/>
        <v>6.5</v>
      </c>
      <c r="N49" s="54">
        <f t="shared" si="14"/>
        <v>6.6923076923076792</v>
      </c>
      <c r="O49" s="54">
        <f t="shared" si="14"/>
        <v>5.5250000000000057</v>
      </c>
      <c r="P49" s="54">
        <f t="shared" si="14"/>
        <v>6.2454545454545496</v>
      </c>
      <c r="Q49" s="54">
        <f t="shared" si="14"/>
        <v>5.460000000000008</v>
      </c>
      <c r="R49" s="54">
        <f t="shared" si="14"/>
        <v>5.36666666666666</v>
      </c>
      <c r="S49" s="54">
        <f t="shared" si="14"/>
        <v>5.4275000000000091</v>
      </c>
      <c r="T49" s="54">
        <f t="shared" si="14"/>
        <v>2.4599999999999937</v>
      </c>
      <c r="U49" s="54"/>
      <c r="V49" s="54"/>
      <c r="W49" s="54"/>
      <c r="X49" s="54"/>
      <c r="Y49" s="54"/>
      <c r="Z49" s="54"/>
      <c r="AA49" s="58">
        <f t="shared" si="8"/>
        <v>0.92170708629987086</v>
      </c>
    </row>
    <row r="50" spans="2:27" x14ac:dyDescent="0.3">
      <c r="B50" s="47">
        <f t="shared" si="6"/>
        <v>8</v>
      </c>
      <c r="C50" s="54">
        <f t="shared" ref="C50:S50" si="15">C18-C19</f>
        <v>2.5</v>
      </c>
      <c r="D50" s="54">
        <f t="shared" si="15"/>
        <v>3.9130434782608745</v>
      </c>
      <c r="E50" s="54">
        <f t="shared" si="15"/>
        <v>4.25</v>
      </c>
      <c r="F50" s="54">
        <f t="shared" si="15"/>
        <v>2.0571428571428498</v>
      </c>
      <c r="G50" s="54">
        <f t="shared" si="15"/>
        <v>2.116500000000002</v>
      </c>
      <c r="H50" s="54">
        <f t="shared" si="15"/>
        <v>2.614736842105259</v>
      </c>
      <c r="I50" s="54">
        <f t="shared" si="15"/>
        <v>4.204444444444448</v>
      </c>
      <c r="J50" s="54">
        <f t="shared" si="15"/>
        <v>5.4352941176470608</v>
      </c>
      <c r="K50" s="54">
        <f t="shared" si="15"/>
        <v>5.5606249999999875</v>
      </c>
      <c r="L50" s="54">
        <f t="shared" si="15"/>
        <v>4.9679999999999893</v>
      </c>
      <c r="M50" s="54">
        <f t="shared" si="15"/>
        <v>6.5</v>
      </c>
      <c r="N50" s="54">
        <f t="shared" si="15"/>
        <v>6.6923076923076792</v>
      </c>
      <c r="O50" s="54">
        <f t="shared" si="15"/>
        <v>5.5250000000000057</v>
      </c>
      <c r="P50" s="54">
        <f t="shared" si="15"/>
        <v>6.2454545454545496</v>
      </c>
      <c r="Q50" s="54">
        <f t="shared" si="15"/>
        <v>5.460000000000008</v>
      </c>
      <c r="R50" s="54">
        <f t="shared" si="15"/>
        <v>5.36666666666666</v>
      </c>
      <c r="S50" s="54">
        <f t="shared" si="15"/>
        <v>5.4275000000000091</v>
      </c>
      <c r="T50" s="54"/>
      <c r="U50" s="54"/>
      <c r="V50" s="54"/>
      <c r="W50" s="54"/>
      <c r="X50" s="54"/>
      <c r="Y50" s="54"/>
      <c r="Z50" s="54"/>
      <c r="AA50" s="58">
        <f t="shared" si="8"/>
        <v>0.91103439406230202</v>
      </c>
    </row>
    <row r="51" spans="2:27" x14ac:dyDescent="0.3">
      <c r="B51" s="47">
        <f t="shared" si="6"/>
        <v>9</v>
      </c>
      <c r="C51" s="54">
        <f t="shared" ref="C51:R51" si="16">C19-C20</f>
        <v>2.5</v>
      </c>
      <c r="D51" s="54">
        <f t="shared" si="16"/>
        <v>3.9130434782608745</v>
      </c>
      <c r="E51" s="54">
        <f t="shared" si="16"/>
        <v>4.25</v>
      </c>
      <c r="F51" s="54">
        <f t="shared" si="16"/>
        <v>2.0571428571428569</v>
      </c>
      <c r="G51" s="54">
        <f t="shared" si="16"/>
        <v>2.116500000000002</v>
      </c>
      <c r="H51" s="54">
        <f t="shared" si="16"/>
        <v>2.614736842105259</v>
      </c>
      <c r="I51" s="54">
        <f t="shared" si="16"/>
        <v>4.204444444444448</v>
      </c>
      <c r="J51" s="54">
        <f t="shared" si="16"/>
        <v>5.4352941176470608</v>
      </c>
      <c r="K51" s="54">
        <f t="shared" si="16"/>
        <v>5.5606249999999875</v>
      </c>
      <c r="L51" s="54">
        <f t="shared" si="16"/>
        <v>4.9679999999999893</v>
      </c>
      <c r="M51" s="54">
        <f t="shared" si="16"/>
        <v>6.5</v>
      </c>
      <c r="N51" s="54">
        <f t="shared" si="16"/>
        <v>6.6923076923076792</v>
      </c>
      <c r="O51" s="54">
        <f t="shared" si="16"/>
        <v>5.5250000000000057</v>
      </c>
      <c r="P51" s="54">
        <f t="shared" si="16"/>
        <v>6.2454545454545496</v>
      </c>
      <c r="Q51" s="54">
        <f t="shared" si="16"/>
        <v>5.460000000000008</v>
      </c>
      <c r="R51" s="54">
        <f t="shared" si="16"/>
        <v>5.36666666666666</v>
      </c>
      <c r="S51" s="54"/>
      <c r="T51" s="54"/>
      <c r="U51" s="54"/>
      <c r="V51" s="54"/>
      <c r="W51" s="54"/>
      <c r="X51" s="54"/>
      <c r="Y51" s="54"/>
      <c r="Z51" s="54"/>
      <c r="AA51" s="58">
        <f t="shared" si="8"/>
        <v>0.90048528377532355</v>
      </c>
    </row>
    <row r="52" spans="2:27" x14ac:dyDescent="0.3">
      <c r="B52" s="47">
        <f t="shared" si="6"/>
        <v>10</v>
      </c>
      <c r="C52" s="54">
        <f t="shared" ref="C52:Q52" si="17">C20-C21</f>
        <v>2.5</v>
      </c>
      <c r="D52" s="54">
        <f t="shared" si="17"/>
        <v>3.9130434782608745</v>
      </c>
      <c r="E52" s="54">
        <f t="shared" si="17"/>
        <v>4.25</v>
      </c>
      <c r="F52" s="54">
        <f t="shared" si="17"/>
        <v>2.0571428571428569</v>
      </c>
      <c r="G52" s="54">
        <f t="shared" si="17"/>
        <v>2.116500000000002</v>
      </c>
      <c r="H52" s="54">
        <f t="shared" si="17"/>
        <v>2.614736842105259</v>
      </c>
      <c r="I52" s="54">
        <f t="shared" si="17"/>
        <v>4.204444444444448</v>
      </c>
      <c r="J52" s="54">
        <f t="shared" si="17"/>
        <v>5.4352941176470608</v>
      </c>
      <c r="K52" s="54">
        <f t="shared" si="17"/>
        <v>5.5606249999999875</v>
      </c>
      <c r="L52" s="54">
        <f t="shared" si="17"/>
        <v>4.9679999999999893</v>
      </c>
      <c r="M52" s="54">
        <f t="shared" si="17"/>
        <v>6.5</v>
      </c>
      <c r="N52" s="54">
        <f t="shared" si="17"/>
        <v>6.6923076923076792</v>
      </c>
      <c r="O52" s="54">
        <f t="shared" si="17"/>
        <v>5.5250000000000057</v>
      </c>
      <c r="P52" s="54">
        <f t="shared" si="17"/>
        <v>6.2454545454545496</v>
      </c>
      <c r="Q52" s="54">
        <f t="shared" si="17"/>
        <v>5.460000000000008</v>
      </c>
      <c r="R52" s="54"/>
      <c r="S52" s="54"/>
      <c r="T52" s="54"/>
      <c r="U52" s="54"/>
      <c r="V52" s="54"/>
      <c r="W52" s="54"/>
      <c r="X52" s="54"/>
      <c r="Y52" s="54"/>
      <c r="Z52" s="54"/>
      <c r="AA52" s="58">
        <f t="shared" si="8"/>
        <v>0.89005832445056143</v>
      </c>
    </row>
    <row r="53" spans="2:27" x14ac:dyDescent="0.3">
      <c r="B53" s="47">
        <f t="shared" si="6"/>
        <v>11</v>
      </c>
      <c r="C53" s="54">
        <f t="shared" ref="C53:P53" si="18">C21-C22</f>
        <v>2.5</v>
      </c>
      <c r="D53" s="54">
        <f t="shared" si="18"/>
        <v>3.9130434782608745</v>
      </c>
      <c r="E53" s="54">
        <f t="shared" si="18"/>
        <v>4.25</v>
      </c>
      <c r="F53" s="54">
        <f t="shared" si="18"/>
        <v>2.0571428571428569</v>
      </c>
      <c r="G53" s="54">
        <f t="shared" si="18"/>
        <v>2.116500000000002</v>
      </c>
      <c r="H53" s="54">
        <f t="shared" si="18"/>
        <v>2.614736842105259</v>
      </c>
      <c r="I53" s="54">
        <f t="shared" si="18"/>
        <v>4.2044444444444338</v>
      </c>
      <c r="J53" s="54">
        <f t="shared" si="18"/>
        <v>5.4352941176470608</v>
      </c>
      <c r="K53" s="54">
        <f t="shared" si="18"/>
        <v>5.5606249999999875</v>
      </c>
      <c r="L53" s="54">
        <f t="shared" si="18"/>
        <v>4.9679999999999893</v>
      </c>
      <c r="M53" s="54">
        <f t="shared" si="18"/>
        <v>6.5</v>
      </c>
      <c r="N53" s="54">
        <f t="shared" si="18"/>
        <v>6.6923076923076792</v>
      </c>
      <c r="O53" s="54">
        <f t="shared" si="18"/>
        <v>5.5250000000000057</v>
      </c>
      <c r="P53" s="54">
        <f t="shared" si="18"/>
        <v>6.2454545454545496</v>
      </c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8">
        <f t="shared" si="8"/>
        <v>0.87975210166943774</v>
      </c>
    </row>
    <row r="54" spans="2:27" x14ac:dyDescent="0.3">
      <c r="B54" s="47">
        <f t="shared" si="6"/>
        <v>12</v>
      </c>
      <c r="C54" s="54">
        <f t="shared" ref="C54:O54" si="19">C22-C23</f>
        <v>2.5</v>
      </c>
      <c r="D54" s="54">
        <f t="shared" si="19"/>
        <v>3.9130434782608745</v>
      </c>
      <c r="E54" s="54">
        <f t="shared" si="19"/>
        <v>4.25</v>
      </c>
      <c r="F54" s="54">
        <f t="shared" si="19"/>
        <v>2.0571428571428569</v>
      </c>
      <c r="G54" s="54">
        <f t="shared" si="19"/>
        <v>2.116500000000002</v>
      </c>
      <c r="H54" s="54">
        <f t="shared" si="19"/>
        <v>2.614736842105259</v>
      </c>
      <c r="I54" s="54">
        <f t="shared" si="19"/>
        <v>4.204444444444448</v>
      </c>
      <c r="J54" s="54">
        <f t="shared" si="19"/>
        <v>5.4352941176470608</v>
      </c>
      <c r="K54" s="54">
        <f t="shared" si="19"/>
        <v>5.5606249999999875</v>
      </c>
      <c r="L54" s="54">
        <f t="shared" si="19"/>
        <v>4.9679999999999893</v>
      </c>
      <c r="M54" s="54">
        <f t="shared" si="19"/>
        <v>6.5</v>
      </c>
      <c r="N54" s="54">
        <f t="shared" si="19"/>
        <v>6.6923076923076792</v>
      </c>
      <c r="O54" s="54">
        <f t="shared" si="19"/>
        <v>5.5250000000000057</v>
      </c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8">
        <f t="shared" si="8"/>
        <v>0.86956521739130443</v>
      </c>
    </row>
    <row r="55" spans="2:27" x14ac:dyDescent="0.3">
      <c r="B55" s="47">
        <f t="shared" si="6"/>
        <v>13</v>
      </c>
      <c r="C55" s="54">
        <f t="shared" ref="C55:N55" si="20">C23-C24</f>
        <v>2.5</v>
      </c>
      <c r="D55" s="54">
        <f t="shared" si="20"/>
        <v>3.9130434782608745</v>
      </c>
      <c r="E55" s="54">
        <f t="shared" si="20"/>
        <v>4.25</v>
      </c>
      <c r="F55" s="54">
        <f t="shared" si="20"/>
        <v>2.0571428571428569</v>
      </c>
      <c r="G55" s="54">
        <f t="shared" si="20"/>
        <v>2.116500000000002</v>
      </c>
      <c r="H55" s="54">
        <f t="shared" si="20"/>
        <v>2.614736842105259</v>
      </c>
      <c r="I55" s="54">
        <f t="shared" si="20"/>
        <v>4.204444444444448</v>
      </c>
      <c r="J55" s="54">
        <f t="shared" si="20"/>
        <v>5.4352941176470608</v>
      </c>
      <c r="K55" s="54">
        <f t="shared" si="20"/>
        <v>5.5606249999999875</v>
      </c>
      <c r="L55" s="54">
        <f t="shared" si="20"/>
        <v>4.9679999999999893</v>
      </c>
      <c r="M55" s="54">
        <f t="shared" si="20"/>
        <v>6.5</v>
      </c>
      <c r="N55" s="54">
        <f t="shared" si="20"/>
        <v>6.6923076923076792</v>
      </c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8">
        <f t="shared" si="8"/>
        <v>0.85949628976379933</v>
      </c>
    </row>
    <row r="56" spans="2:27" x14ac:dyDescent="0.3">
      <c r="B56" s="47">
        <f t="shared" si="6"/>
        <v>14</v>
      </c>
      <c r="C56" s="54">
        <f t="shared" ref="C56:M56" si="21">C24-C25</f>
        <v>2.5</v>
      </c>
      <c r="D56" s="54">
        <f t="shared" si="21"/>
        <v>3.9130434782608745</v>
      </c>
      <c r="E56" s="54">
        <f t="shared" si="21"/>
        <v>4.25</v>
      </c>
      <c r="F56" s="54">
        <f t="shared" si="21"/>
        <v>2.0571428571428569</v>
      </c>
      <c r="G56" s="54">
        <f t="shared" si="21"/>
        <v>2.116500000000002</v>
      </c>
      <c r="H56" s="54">
        <f t="shared" si="21"/>
        <v>2.614736842105259</v>
      </c>
      <c r="I56" s="54">
        <f t="shared" si="21"/>
        <v>4.204444444444448</v>
      </c>
      <c r="J56" s="54">
        <f t="shared" si="21"/>
        <v>5.4352941176470608</v>
      </c>
      <c r="K56" s="54">
        <f t="shared" si="21"/>
        <v>5.5606249999999875</v>
      </c>
      <c r="L56" s="54">
        <f t="shared" si="21"/>
        <v>4.9679999999999893</v>
      </c>
      <c r="M56" s="54">
        <f t="shared" si="21"/>
        <v>6.5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8">
        <f t="shared" si="8"/>
        <v>0.84954395293539742</v>
      </c>
    </row>
    <row r="57" spans="2:27" x14ac:dyDescent="0.3">
      <c r="B57" s="47">
        <f t="shared" si="6"/>
        <v>15</v>
      </c>
      <c r="C57" s="54">
        <f t="shared" ref="C57:L57" si="22">C25-C26</f>
        <v>2.5</v>
      </c>
      <c r="D57" s="54">
        <f t="shared" si="22"/>
        <v>3.9130434782608745</v>
      </c>
      <c r="E57" s="54">
        <f t="shared" si="22"/>
        <v>4.25</v>
      </c>
      <c r="F57" s="54">
        <f t="shared" si="22"/>
        <v>2.0571428571428569</v>
      </c>
      <c r="G57" s="54">
        <f t="shared" si="22"/>
        <v>2.116500000000002</v>
      </c>
      <c r="H57" s="54">
        <f t="shared" si="22"/>
        <v>2.614736842105259</v>
      </c>
      <c r="I57" s="54">
        <f t="shared" si="22"/>
        <v>4.204444444444448</v>
      </c>
      <c r="J57" s="54">
        <f t="shared" si="22"/>
        <v>5.4352941176470608</v>
      </c>
      <c r="K57" s="54">
        <f t="shared" si="22"/>
        <v>5.5606249999999875</v>
      </c>
      <c r="L57" s="54">
        <f t="shared" si="22"/>
        <v>4.9679999999999893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8">
        <f t="shared" si="8"/>
        <v>0.83970685687013269</v>
      </c>
    </row>
    <row r="58" spans="2:27" x14ac:dyDescent="0.3">
      <c r="B58" s="47">
        <f t="shared" si="6"/>
        <v>16</v>
      </c>
      <c r="C58" s="54">
        <f t="shared" ref="C58:K58" si="23">C26-C27</f>
        <v>2.5</v>
      </c>
      <c r="D58" s="54">
        <f t="shared" si="23"/>
        <v>3.9130434782608745</v>
      </c>
      <c r="E58" s="54">
        <f t="shared" si="23"/>
        <v>4.25</v>
      </c>
      <c r="F58" s="54">
        <f t="shared" si="23"/>
        <v>2.0571428571428569</v>
      </c>
      <c r="G58" s="54">
        <f t="shared" si="23"/>
        <v>2.116500000000002</v>
      </c>
      <c r="H58" s="54">
        <f t="shared" si="23"/>
        <v>2.614736842105259</v>
      </c>
      <c r="I58" s="54">
        <f t="shared" si="23"/>
        <v>4.204444444444448</v>
      </c>
      <c r="J58" s="54">
        <f t="shared" si="23"/>
        <v>5.4352941176470608</v>
      </c>
      <c r="K58" s="54">
        <f t="shared" si="23"/>
        <v>5.5606249999999875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8">
        <f t="shared" si="8"/>
        <v>0.8299836671644657</v>
      </c>
    </row>
    <row r="59" spans="2:27" x14ac:dyDescent="0.3">
      <c r="B59" s="47">
        <f t="shared" si="6"/>
        <v>17</v>
      </c>
      <c r="C59" s="54">
        <f t="shared" ref="C59:J59" si="24">C27-C28</f>
        <v>2.5</v>
      </c>
      <c r="D59" s="54">
        <f t="shared" si="24"/>
        <v>3.9130434782608745</v>
      </c>
      <c r="E59" s="54">
        <f t="shared" si="24"/>
        <v>4.25</v>
      </c>
      <c r="F59" s="54">
        <f t="shared" si="24"/>
        <v>2.0571428571428569</v>
      </c>
      <c r="G59" s="54">
        <f t="shared" si="24"/>
        <v>2.116500000000002</v>
      </c>
      <c r="H59" s="54">
        <f t="shared" si="24"/>
        <v>2.614736842105259</v>
      </c>
      <c r="I59" s="54">
        <f t="shared" si="24"/>
        <v>4.204444444444448</v>
      </c>
      <c r="J59" s="54">
        <f t="shared" si="24"/>
        <v>5.4352941176470608</v>
      </c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8">
        <f t="shared" si="8"/>
        <v>0.82037306486627204</v>
      </c>
    </row>
    <row r="60" spans="2:27" x14ac:dyDescent="0.3">
      <c r="B60" s="47">
        <f t="shared" si="6"/>
        <v>18</v>
      </c>
      <c r="C60" s="54">
        <f t="shared" ref="C60:I60" si="25">C28-C29</f>
        <v>2.5</v>
      </c>
      <c r="D60" s="54">
        <f t="shared" si="25"/>
        <v>3.9130434782608745</v>
      </c>
      <c r="E60" s="54">
        <f t="shared" si="25"/>
        <v>4.25</v>
      </c>
      <c r="F60" s="54">
        <f t="shared" si="25"/>
        <v>2.0571428571428569</v>
      </c>
      <c r="G60" s="54">
        <f t="shared" si="25"/>
        <v>2.116500000000002</v>
      </c>
      <c r="H60" s="54">
        <f t="shared" si="25"/>
        <v>2.614736842105259</v>
      </c>
      <c r="I60" s="54">
        <f t="shared" si="25"/>
        <v>4.204444444444448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8">
        <f t="shared" si="8"/>
        <v>0.81087374629592512</v>
      </c>
    </row>
    <row r="61" spans="2:27" x14ac:dyDescent="0.3">
      <c r="B61" s="47">
        <f t="shared" si="6"/>
        <v>19</v>
      </c>
      <c r="C61" s="54">
        <f t="shared" ref="C61:H61" si="26">C29-C30</f>
        <v>2.5</v>
      </c>
      <c r="D61" s="54">
        <f t="shared" si="26"/>
        <v>3.9130434782608745</v>
      </c>
      <c r="E61" s="54">
        <f t="shared" si="26"/>
        <v>4.25</v>
      </c>
      <c r="F61" s="54">
        <f t="shared" si="26"/>
        <v>2.0571428571428569</v>
      </c>
      <c r="G61" s="54">
        <f t="shared" si="26"/>
        <v>2.116500000000002</v>
      </c>
      <c r="H61" s="54">
        <f t="shared" si="26"/>
        <v>2.614736842105259</v>
      </c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8">
        <f t="shared" si="8"/>
        <v>0.80148442286945298</v>
      </c>
    </row>
    <row r="62" spans="2:27" x14ac:dyDescent="0.3">
      <c r="B62" s="47">
        <f t="shared" si="6"/>
        <v>20</v>
      </c>
      <c r="C62" s="54">
        <f>C30-C31</f>
        <v>2.5</v>
      </c>
      <c r="D62" s="54">
        <f>D30-D31</f>
        <v>3.9130434782608745</v>
      </c>
      <c r="E62" s="54">
        <f>E30-E31</f>
        <v>4.25</v>
      </c>
      <c r="F62" s="54">
        <f>F30-F31</f>
        <v>2.0571428571428569</v>
      </c>
      <c r="G62" s="54">
        <f>G30-G31</f>
        <v>2.116500000000002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8">
        <f t="shared" si="8"/>
        <v>0.79220382092374098</v>
      </c>
    </row>
    <row r="63" spans="2:27" x14ac:dyDescent="0.3">
      <c r="B63" s="47">
        <f t="shared" si="6"/>
        <v>21</v>
      </c>
      <c r="C63" s="54">
        <f>C31-C32</f>
        <v>2.5</v>
      </c>
      <c r="D63" s="54">
        <f>D31-D32</f>
        <v>3.9130434782608745</v>
      </c>
      <c r="E63" s="54">
        <f>E31-E32</f>
        <v>4.25</v>
      </c>
      <c r="F63" s="54">
        <f>F31-F32</f>
        <v>2.0571428571428569</v>
      </c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8">
        <f t="shared" si="8"/>
        <v>0.78303068154375965</v>
      </c>
    </row>
    <row r="64" spans="2:27" x14ac:dyDescent="0.3">
      <c r="B64" s="47">
        <f t="shared" si="6"/>
        <v>22</v>
      </c>
      <c r="C64" s="54">
        <f>C32-C33</f>
        <v>2.5</v>
      </c>
      <c r="D64" s="54">
        <f>D32-D33</f>
        <v>3.9130434782608674</v>
      </c>
      <c r="E64" s="54">
        <f>E32-E33</f>
        <v>4.25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8">
        <f t="shared" si="8"/>
        <v>0.77396376039179271</v>
      </c>
    </row>
    <row r="65" spans="2:27" x14ac:dyDescent="0.3">
      <c r="B65" s="47">
        <f t="shared" si="6"/>
        <v>23</v>
      </c>
      <c r="C65" s="54">
        <f>C33-C34</f>
        <v>2.5</v>
      </c>
      <c r="D65" s="54">
        <f>D33-D34</f>
        <v>3.9130434782608674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8">
        <f t="shared" si="8"/>
        <v>0.76500182753864143</v>
      </c>
    </row>
    <row r="66" spans="2:27" x14ac:dyDescent="0.3">
      <c r="B66" s="47">
        <f t="shared" si="6"/>
        <v>24</v>
      </c>
      <c r="C66" s="54">
        <f>C34-C35</f>
        <v>2.5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8">
        <f t="shared" si="8"/>
        <v>0.7561436672967865</v>
      </c>
    </row>
    <row r="67" spans="2:27" x14ac:dyDescent="0.3">
      <c r="B67" s="47" t="s">
        <v>77</v>
      </c>
      <c r="C67" s="61">
        <f>SUM(C43:C66)</f>
        <v>60</v>
      </c>
      <c r="D67" s="61">
        <f t="shared" ref="D67:Z67" si="27">SUM(D43:D66)</f>
        <v>90</v>
      </c>
      <c r="E67" s="61">
        <f t="shared" si="27"/>
        <v>93.5</v>
      </c>
      <c r="F67" s="61">
        <f t="shared" si="27"/>
        <v>43.199999999999996</v>
      </c>
      <c r="G67" s="61">
        <f t="shared" si="27"/>
        <v>42.33</v>
      </c>
      <c r="H67" s="61">
        <f t="shared" si="27"/>
        <v>49.679999999999993</v>
      </c>
      <c r="I67" s="61">
        <f t="shared" si="27"/>
        <v>75.679999999999993</v>
      </c>
      <c r="J67" s="61">
        <f t="shared" si="27"/>
        <v>92.399999999999977</v>
      </c>
      <c r="K67" s="61">
        <f t="shared" si="27"/>
        <v>88.96999999999997</v>
      </c>
      <c r="L67" s="61">
        <f t="shared" si="27"/>
        <v>74.519999999999982</v>
      </c>
      <c r="M67" s="61">
        <f t="shared" si="27"/>
        <v>90.999999999999972</v>
      </c>
      <c r="N67" s="61">
        <f t="shared" si="27"/>
        <v>86.999999999999943</v>
      </c>
      <c r="O67" s="61">
        <f t="shared" si="27"/>
        <v>66.299999999999955</v>
      </c>
      <c r="P67" s="61">
        <f t="shared" si="27"/>
        <v>68.69999999999996</v>
      </c>
      <c r="Q67" s="61">
        <f t="shared" si="27"/>
        <v>54.599999999999966</v>
      </c>
      <c r="R67" s="61">
        <f t="shared" si="27"/>
        <v>48.299999999999969</v>
      </c>
      <c r="S67" s="61">
        <f t="shared" si="27"/>
        <v>43.419999999999959</v>
      </c>
      <c r="T67" s="61">
        <f t="shared" si="27"/>
        <v>17.219999999999985</v>
      </c>
      <c r="U67" s="61">
        <f t="shared" si="27"/>
        <v>28.729999999999961</v>
      </c>
      <c r="V67" s="61">
        <f t="shared" si="27"/>
        <v>41.579999999999927</v>
      </c>
      <c r="W67" s="61">
        <f t="shared" si="27"/>
        <v>35.419999999999931</v>
      </c>
      <c r="X67" s="61">
        <f t="shared" si="27"/>
        <v>20.999999999999915</v>
      </c>
      <c r="Y67" s="61">
        <f t="shared" si="27"/>
        <v>10.14999999999992</v>
      </c>
      <c r="Z67" s="61">
        <f t="shared" si="27"/>
        <v>5.7899999999999068</v>
      </c>
    </row>
    <row r="68" spans="2:27" x14ac:dyDescent="0.3">
      <c r="B68" s="47" t="s">
        <v>78</v>
      </c>
      <c r="C68" s="61">
        <f>SUMPRODUCT(C43:C66,$AA$43:$AA$66)</f>
        <v>52.039705951723384</v>
      </c>
      <c r="D68" s="61">
        <f>SUMPRODUCT(D43:D66,$AA$43:$AA$66)</f>
        <v>78.494629748057875</v>
      </c>
      <c r="E68" s="61">
        <f>SUMPRODUCT(E43:E66,$AA$43:$AA$66)</f>
        <v>82.002631764879197</v>
      </c>
      <c r="F68" s="61">
        <f>SUMPRODUCT(F43:F66,$AA$43:$AA$66)</f>
        <v>38.099876143807819</v>
      </c>
      <c r="G68" s="61">
        <f>SUMPRODUCT(G43:G66,$AA$43:$AA$66)</f>
        <v>37.541931882553229</v>
      </c>
      <c r="H68" s="61">
        <f t="shared" ref="H68:Z68" si="28">SUMPRODUCT(H43:H66,$AA$43:$AA$66)</f>
        <v>44.308124146861772</v>
      </c>
      <c r="I68" s="61">
        <f t="shared" si="28"/>
        <v>67.876778992526312</v>
      </c>
      <c r="J68" s="61">
        <f t="shared" si="28"/>
        <v>83.340345525518998</v>
      </c>
      <c r="K68" s="61">
        <f t="shared" si="28"/>
        <v>80.700279587252282</v>
      </c>
      <c r="L68" s="61">
        <f t="shared" si="28"/>
        <v>67.976268249895043</v>
      </c>
      <c r="M68" s="61">
        <f t="shared" si="28"/>
        <v>83.480259622034509</v>
      </c>
      <c r="N68" s="61">
        <f t="shared" si="28"/>
        <v>80.264680257183812</v>
      </c>
      <c r="O68" s="61">
        <f t="shared" si="28"/>
        <v>61.515773337816235</v>
      </c>
      <c r="P68" s="61">
        <f t="shared" si="28"/>
        <v>64.106539410214765</v>
      </c>
      <c r="Q68" s="61">
        <f t="shared" si="28"/>
        <v>51.240785795299686</v>
      </c>
      <c r="R68" s="61">
        <f t="shared" si="28"/>
        <v>45.588228585785963</v>
      </c>
      <c r="S68" s="61">
        <f t="shared" si="28"/>
        <v>41.217605684300722</v>
      </c>
      <c r="T68" s="61">
        <f t="shared" si="28"/>
        <v>16.44062600016543</v>
      </c>
      <c r="U68" s="61">
        <f t="shared" si="28"/>
        <v>27.587859030815732</v>
      </c>
      <c r="V68" s="61">
        <f t="shared" si="28"/>
        <v>40.157709583124017</v>
      </c>
      <c r="W68" s="61">
        <f t="shared" si="28"/>
        <v>34.406460080341851</v>
      </c>
      <c r="X68" s="61">
        <f t="shared" si="28"/>
        <v>20.517414151533018</v>
      </c>
      <c r="Y68" s="61">
        <f t="shared" si="28"/>
        <v>9.9743861164531076</v>
      </c>
      <c r="Z68" s="61">
        <f t="shared" si="28"/>
        <v>5.7229560453921646</v>
      </c>
    </row>
    <row r="69" spans="2:27" x14ac:dyDescent="0.3">
      <c r="B69" s="51" t="s">
        <v>81</v>
      </c>
      <c r="C69" s="62">
        <f>C68/C42</f>
        <v>0.52039705951723381</v>
      </c>
      <c r="D69" s="62">
        <f t="shared" ref="D69:Z69" si="29">D68/D42</f>
        <v>0.52329753165371917</v>
      </c>
      <c r="E69" s="62">
        <f t="shared" si="29"/>
        <v>0.48236842214634823</v>
      </c>
      <c r="F69" s="62">
        <f t="shared" si="29"/>
        <v>0.47624845179759773</v>
      </c>
      <c r="G69" s="62">
        <f t="shared" si="29"/>
        <v>0.45231243231991841</v>
      </c>
      <c r="H69" s="62">
        <f t="shared" si="29"/>
        <v>0.41026040876723863</v>
      </c>
      <c r="I69" s="62">
        <f t="shared" si="29"/>
        <v>0.39463243600305997</v>
      </c>
      <c r="J69" s="62">
        <f t="shared" si="29"/>
        <v>0.36078071656068833</v>
      </c>
      <c r="K69" s="62">
        <f t="shared" si="29"/>
        <v>0.37189068934217639</v>
      </c>
      <c r="L69" s="62">
        <f t="shared" si="29"/>
        <v>0.32838776932316444</v>
      </c>
      <c r="M69" s="62">
        <f t="shared" si="29"/>
        <v>0.32107792162320964</v>
      </c>
      <c r="N69" s="62">
        <f t="shared" si="29"/>
        <v>0.27677475950753039</v>
      </c>
      <c r="O69" s="62">
        <f t="shared" si="29"/>
        <v>0.27835191555572958</v>
      </c>
      <c r="P69" s="62">
        <f t="shared" si="29"/>
        <v>0.27994122013194223</v>
      </c>
      <c r="Q69" s="62">
        <f t="shared" si="29"/>
        <v>0.28154277909505321</v>
      </c>
      <c r="R69" s="62">
        <f t="shared" si="29"/>
        <v>0.28315669929059606</v>
      </c>
      <c r="S69" s="62">
        <f t="shared" si="29"/>
        <v>0.24681201008563305</v>
      </c>
      <c r="T69" s="62">
        <f t="shared" si="29"/>
        <v>0.20049543902640768</v>
      </c>
      <c r="U69" s="62">
        <f t="shared" si="29"/>
        <v>0.16324176941311083</v>
      </c>
      <c r="V69" s="62">
        <f t="shared" si="29"/>
        <v>0.17384289862824251</v>
      </c>
      <c r="W69" s="62">
        <f t="shared" si="29"/>
        <v>0.13599391336103497</v>
      </c>
      <c r="X69" s="62">
        <f t="shared" si="29"/>
        <v>9.7701972150157232E-2</v>
      </c>
      <c r="Y69" s="62">
        <f t="shared" si="29"/>
        <v>4.9134906977601513E-2</v>
      </c>
      <c r="Z69" s="62">
        <f t="shared" si="29"/>
        <v>2.9652621996850592E-2</v>
      </c>
    </row>
    <row r="70" spans="2:27" x14ac:dyDescent="0.3">
      <c r="B70" s="50" t="s">
        <v>79</v>
      </c>
      <c r="C70" s="63">
        <f>1-C69</f>
        <v>0.47960294048276619</v>
      </c>
      <c r="D70" s="63">
        <f t="shared" ref="D70:Z70" si="30">1-D69</f>
        <v>0.47670246834628083</v>
      </c>
      <c r="E70" s="63">
        <f t="shared" si="30"/>
        <v>0.51763157785365177</v>
      </c>
      <c r="F70" s="63">
        <f t="shared" si="30"/>
        <v>0.52375154820240222</v>
      </c>
      <c r="G70" s="63">
        <f t="shared" si="30"/>
        <v>0.54768756768008164</v>
      </c>
      <c r="H70" s="63">
        <f t="shared" si="30"/>
        <v>0.58973959123276143</v>
      </c>
      <c r="I70" s="63">
        <f t="shared" si="30"/>
        <v>0.60536756399694003</v>
      </c>
      <c r="J70" s="63">
        <f t="shared" si="30"/>
        <v>0.63921928343931167</v>
      </c>
      <c r="K70" s="63">
        <f t="shared" si="30"/>
        <v>0.62810931065782361</v>
      </c>
      <c r="L70" s="63">
        <f t="shared" si="30"/>
        <v>0.67161223067683551</v>
      </c>
      <c r="M70" s="63">
        <f t="shared" si="30"/>
        <v>0.67892207837679042</v>
      </c>
      <c r="N70" s="63">
        <f t="shared" si="30"/>
        <v>0.72322524049246961</v>
      </c>
      <c r="O70" s="63">
        <f t="shared" si="30"/>
        <v>0.72164808444427042</v>
      </c>
      <c r="P70" s="63">
        <f t="shared" si="30"/>
        <v>0.72005877986805777</v>
      </c>
      <c r="Q70" s="63">
        <f t="shared" si="30"/>
        <v>0.71845722090494679</v>
      </c>
      <c r="R70" s="63">
        <f t="shared" si="30"/>
        <v>0.71684330070940394</v>
      </c>
      <c r="S70" s="63">
        <f t="shared" si="30"/>
        <v>0.75318798991436697</v>
      </c>
      <c r="T70" s="63">
        <f t="shared" si="30"/>
        <v>0.79950456097359235</v>
      </c>
      <c r="U70" s="63">
        <f t="shared" si="30"/>
        <v>0.83675823058688914</v>
      </c>
      <c r="V70" s="63">
        <f t="shared" si="30"/>
        <v>0.82615710137175746</v>
      </c>
      <c r="W70" s="63">
        <f t="shared" si="30"/>
        <v>0.86400608663896505</v>
      </c>
      <c r="X70" s="63">
        <f t="shared" si="30"/>
        <v>0.90229802784984281</v>
      </c>
      <c r="Y70" s="63">
        <f t="shared" si="30"/>
        <v>0.95086509302239852</v>
      </c>
      <c r="Z70" s="63">
        <f t="shared" si="30"/>
        <v>0.97034737800314941</v>
      </c>
    </row>
  </sheetData>
  <mergeCells count="1">
    <mergeCell ref="A12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cleansing</vt:lpstr>
      <vt:lpstr>Calibration</vt:lpstr>
      <vt:lpstr>QMM_lack of data</vt:lpstr>
      <vt:lpstr>realized LGD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2023-03-13T13:37:38Z</dcterms:modified>
</cp:coreProperties>
</file>