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3" documentId="13_ncr:1_{B26B45DA-69B8-4497-96A5-BDC71EE7575C}" xr6:coauthVersionLast="47" xr6:coauthVersionMax="47" xr10:uidLastSave="{CC2E08DD-F5AB-4A94-9DB2-F9976BB36E38}"/>
  <bookViews>
    <workbookView xWindow="-108" yWindow="-108" windowWidth="23256" windowHeight="12576" tabRatio="872" xr2:uid="{00000000-000D-0000-FFFF-FFFF00000000}"/>
  </bookViews>
  <sheets>
    <sheet name="FV and PL general example" sheetId="9" r:id="rId1"/>
    <sheet name="FV and PL_forward" sheetId="5" r:id="rId2"/>
    <sheet name="PL after expiration_options" sheetId="3" r:id="rId3"/>
    <sheet name="FV_option_BlackSholes" sheetId="11" r:id="rId4"/>
    <sheet name="FV_option_BS" sheetId="7" state="hidden" r:id="rId5"/>
    <sheet name="FV and PL int rate swap" sheetId="4" r:id="rId6"/>
    <sheet name="Interest accrual" sheetId="2" r:id="rId7"/>
    <sheet name="LIBOR USD" sheetId="8" r:id="rId8"/>
  </sheets>
  <definedNames>
    <definedName name="_Nd1">FV_option_BS!$J$4</definedName>
    <definedName name="_Nd2">FV_option_BS!$K$4</definedName>
    <definedName name="_vd1">FV_option_BS!$H$4</definedName>
    <definedName name="_vd2">FV_option_BS!$I$4</definedName>
    <definedName name="DividendYield">FV_option_BS!$B$8</definedName>
    <definedName name="ExercisePrice">FV_option_BS!#REF!</definedName>
    <definedName name="N_dash_d1">FV_option_BS!$L$4</definedName>
    <definedName name="RiskFreeRate">FV_option_BS!$B$6</definedName>
    <definedName name="sigma">FV_option_BS!$B$7</definedName>
    <definedName name="SpotPrice">FV_option_BS!$B$4</definedName>
    <definedName name="TimeToMaturity">FV_option_BS!$B$9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13" i="5"/>
  <c r="L43" i="4"/>
  <c r="K41" i="4"/>
  <c r="L41" i="4"/>
  <c r="L42" i="4"/>
  <c r="L44" i="4"/>
  <c r="K40" i="4"/>
  <c r="K42" i="4"/>
  <c r="K43" i="4"/>
  <c r="K44" i="4"/>
  <c r="I10" i="11"/>
  <c r="H9" i="11"/>
  <c r="J8" i="11"/>
  <c r="M16" i="11"/>
  <c r="AA13" i="3"/>
  <c r="D13" i="3"/>
  <c r="M44" i="4" l="1"/>
  <c r="C44" i="4" s="1"/>
  <c r="G33" i="11"/>
  <c r="E8" i="11"/>
  <c r="G6" i="11"/>
  <c r="M5" i="11"/>
  <c r="D7" i="9"/>
  <c r="D6" i="9"/>
  <c r="D5" i="9"/>
  <c r="C14" i="5"/>
  <c r="E14" i="5" s="1"/>
  <c r="D14" i="5"/>
  <c r="C15" i="5"/>
  <c r="E15" i="5" s="1"/>
  <c r="D15" i="5"/>
  <c r="C16" i="5"/>
  <c r="D16" i="5"/>
  <c r="C17" i="5"/>
  <c r="E17" i="5" s="1"/>
  <c r="D17" i="5"/>
  <c r="C18" i="5"/>
  <c r="D18" i="5"/>
  <c r="C19" i="5"/>
  <c r="E19" i="5" s="1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E30" i="5" s="1"/>
  <c r="D30" i="5"/>
  <c r="C31" i="5"/>
  <c r="E31" i="5" s="1"/>
  <c r="D31" i="5"/>
  <c r="C32" i="5"/>
  <c r="D32" i="5"/>
  <c r="C33" i="5"/>
  <c r="D33" i="5"/>
  <c r="C34" i="5"/>
  <c r="D34" i="5"/>
  <c r="C35" i="5"/>
  <c r="E35" i="5" s="1"/>
  <c r="D35" i="5"/>
  <c r="C36" i="5"/>
  <c r="D36" i="5"/>
  <c r="C37" i="5"/>
  <c r="D37" i="5"/>
  <c r="C38" i="5"/>
  <c r="D38" i="5"/>
  <c r="C39" i="5"/>
  <c r="E39" i="5" s="1"/>
  <c r="D39" i="5"/>
  <c r="C40" i="5"/>
  <c r="D40" i="5"/>
  <c r="C41" i="5"/>
  <c r="D41" i="5"/>
  <c r="C42" i="5"/>
  <c r="D42" i="5"/>
  <c r="C43" i="5"/>
  <c r="D43" i="5"/>
  <c r="D13" i="5"/>
  <c r="C13" i="5"/>
  <c r="C32" i="4"/>
  <c r="C33" i="4"/>
  <c r="C31" i="4"/>
  <c r="G9" i="2"/>
  <c r="H9" i="2"/>
  <c r="F9" i="2"/>
  <c r="C9" i="2"/>
  <c r="E9" i="2"/>
  <c r="C46" i="4"/>
  <c r="C45" i="4"/>
  <c r="K39" i="4"/>
  <c r="L19" i="8"/>
  <c r="L20" i="8"/>
  <c r="L21" i="8"/>
  <c r="L22" i="8"/>
  <c r="L23" i="8"/>
  <c r="L24" i="8"/>
  <c r="L25" i="8"/>
  <c r="L26" i="8"/>
  <c r="L27" i="8"/>
  <c r="L28" i="8"/>
  <c r="L29" i="8"/>
  <c r="L30" i="8"/>
  <c r="L40" i="4" s="1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8" i="8"/>
  <c r="C39" i="4"/>
  <c r="D39" i="4" s="1"/>
  <c r="D22" i="4"/>
  <c r="C22" i="4" s="1"/>
  <c r="D18" i="4"/>
  <c r="C18" i="4" s="1"/>
  <c r="D19" i="4"/>
  <c r="C19" i="4" s="1"/>
  <c r="D20" i="4"/>
  <c r="C20" i="4" s="1"/>
  <c r="D21" i="4"/>
  <c r="C21" i="4" s="1"/>
  <c r="D17" i="4"/>
  <c r="C17" i="4" s="1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G42" i="4" s="1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M58" i="8"/>
  <c r="N58" i="8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N18" i="8"/>
  <c r="M18" i="8"/>
  <c r="E44" i="4"/>
  <c r="E43" i="4"/>
  <c r="E42" i="4"/>
  <c r="E41" i="4"/>
  <c r="E40" i="4"/>
  <c r="E39" i="4"/>
  <c r="K117" i="8"/>
  <c r="E18" i="4"/>
  <c r="E19" i="4"/>
  <c r="E20" i="4"/>
  <c r="E21" i="4"/>
  <c r="E22" i="4"/>
  <c r="E17" i="4"/>
  <c r="E29" i="5" l="1"/>
  <c r="E28" i="5"/>
  <c r="E27" i="5"/>
  <c r="E37" i="5"/>
  <c r="G43" i="4"/>
  <c r="M43" i="4"/>
  <c r="C43" i="4" s="1"/>
  <c r="D43" i="4" s="1"/>
  <c r="F43" i="4" s="1"/>
  <c r="G40" i="4"/>
  <c r="G41" i="4"/>
  <c r="M41" i="4"/>
  <c r="C41" i="4" s="1"/>
  <c r="D41" i="4" s="1"/>
  <c r="F41" i="4" s="1"/>
  <c r="H41" i="4" s="1"/>
  <c r="E7" i="9"/>
  <c r="F7" i="9" s="1"/>
  <c r="G44" i="4"/>
  <c r="D44" i="4"/>
  <c r="F44" i="4" s="1"/>
  <c r="G34" i="11"/>
  <c r="H33" i="11"/>
  <c r="H5" i="11"/>
  <c r="Q5" i="11" s="1"/>
  <c r="H32" i="11"/>
  <c r="I5" i="11"/>
  <c r="J5" i="11" s="1"/>
  <c r="L5" i="11" s="1"/>
  <c r="N5" i="11" s="1"/>
  <c r="O5" i="11"/>
  <c r="M6" i="11"/>
  <c r="H6" i="11"/>
  <c r="G7" i="11"/>
  <c r="E43" i="5"/>
  <c r="E23" i="5"/>
  <c r="E41" i="5"/>
  <c r="E33" i="5"/>
  <c r="E21" i="5"/>
  <c r="F39" i="4"/>
  <c r="E25" i="5"/>
  <c r="E22" i="5"/>
  <c r="E36" i="5"/>
  <c r="E38" i="5"/>
  <c r="G38" i="5" s="1"/>
  <c r="E20" i="5"/>
  <c r="E32" i="5"/>
  <c r="E16" i="5"/>
  <c r="E26" i="5"/>
  <c r="E18" i="5"/>
  <c r="E42" i="5"/>
  <c r="E40" i="5"/>
  <c r="E24" i="5"/>
  <c r="E34" i="5"/>
  <c r="G15" i="5"/>
  <c r="M42" i="4"/>
  <c r="C42" i="4" s="1"/>
  <c r="D42" i="4" s="1"/>
  <c r="L39" i="4"/>
  <c r="M40" i="4" s="1"/>
  <c r="F17" i="4"/>
  <c r="F18" i="4"/>
  <c r="F22" i="4"/>
  <c r="F21" i="4"/>
  <c r="F20" i="4"/>
  <c r="F19" i="4"/>
  <c r="G22" i="5" l="1"/>
  <c r="G16" i="5"/>
  <c r="G40" i="5"/>
  <c r="G25" i="5"/>
  <c r="G32" i="5"/>
  <c r="H43" i="4"/>
  <c r="F42" i="4"/>
  <c r="H42" i="4" s="1"/>
  <c r="H44" i="4"/>
  <c r="C40" i="4"/>
  <c r="G35" i="11"/>
  <c r="H34" i="11"/>
  <c r="I33" i="11"/>
  <c r="J33" i="11"/>
  <c r="L33" i="11" s="1"/>
  <c r="P5" i="11"/>
  <c r="H7" i="11"/>
  <c r="O7" i="11" s="1"/>
  <c r="M7" i="11"/>
  <c r="G8" i="11"/>
  <c r="I6" i="11"/>
  <c r="J6" i="11" s="1"/>
  <c r="L6" i="11" s="1"/>
  <c r="N6" i="11" s="1"/>
  <c r="P6" i="11"/>
  <c r="O6" i="11"/>
  <c r="Q6" i="11"/>
  <c r="G30" i="5"/>
  <c r="G42" i="5"/>
  <c r="G43" i="5"/>
  <c r="G17" i="5"/>
  <c r="G31" i="5"/>
  <c r="G34" i="5"/>
  <c r="G35" i="5"/>
  <c r="G18" i="5"/>
  <c r="G19" i="5"/>
  <c r="G37" i="5"/>
  <c r="G36" i="5"/>
  <c r="G41" i="5"/>
  <c r="G28" i="5"/>
  <c r="G29" i="5"/>
  <c r="G20" i="5"/>
  <c r="G21" i="5"/>
  <c r="G23" i="5"/>
  <c r="G26" i="5"/>
  <c r="G27" i="5"/>
  <c r="G39" i="5"/>
  <c r="G39" i="4"/>
  <c r="H39" i="4" s="1"/>
  <c r="M39" i="4"/>
  <c r="F23" i="4"/>
  <c r="H4" i="7"/>
  <c r="L4" i="7" s="1"/>
  <c r="AG14" i="3"/>
  <c r="AG15" i="3" s="1"/>
  <c r="AG16" i="3" s="1"/>
  <c r="AG17" i="3" s="1"/>
  <c r="AG18" i="3" s="1"/>
  <c r="AG19" i="3" s="1"/>
  <c r="AG20" i="3" s="1"/>
  <c r="AG21" i="3" s="1"/>
  <c r="AG22" i="3" s="1"/>
  <c r="AG23" i="3" s="1"/>
  <c r="AG24" i="3" s="1"/>
  <c r="AG25" i="3" s="1"/>
  <c r="AG26" i="3" s="1"/>
  <c r="AG27" i="3" s="1"/>
  <c r="AG28" i="3" s="1"/>
  <c r="AG29" i="3" s="1"/>
  <c r="AG30" i="3" s="1"/>
  <c r="AG31" i="3" s="1"/>
  <c r="AG32" i="3" s="1"/>
  <c r="AG33" i="3" s="1"/>
  <c r="AG34" i="3" s="1"/>
  <c r="AG35" i="3" s="1"/>
  <c r="AG36" i="3" s="1"/>
  <c r="AG37" i="3" s="1"/>
  <c r="AG38" i="3" s="1"/>
  <c r="AG39" i="3" s="1"/>
  <c r="AG40" i="3" s="1"/>
  <c r="AG41" i="3" s="1"/>
  <c r="AG42" i="3" s="1"/>
  <c r="AG43" i="3" s="1"/>
  <c r="AG44" i="3" s="1"/>
  <c r="AG45" i="3" s="1"/>
  <c r="AG46" i="3" s="1"/>
  <c r="AG47" i="3" s="1"/>
  <c r="AG48" i="3" s="1"/>
  <c r="AG49" i="3" s="1"/>
  <c r="AG50" i="3" s="1"/>
  <c r="AG51" i="3" s="1"/>
  <c r="AG52" i="3" s="1"/>
  <c r="AG53" i="3" s="1"/>
  <c r="AG54" i="3" s="1"/>
  <c r="AG55" i="3" s="1"/>
  <c r="AG56" i="3" s="1"/>
  <c r="AG57" i="3" s="1"/>
  <c r="AG58" i="3" s="1"/>
  <c r="AG59" i="3" s="1"/>
  <c r="AG60" i="3" s="1"/>
  <c r="AG61" i="3" s="1"/>
  <c r="AG62" i="3" s="1"/>
  <c r="AG63" i="3" s="1"/>
  <c r="AG64" i="3" s="1"/>
  <c r="AG65" i="3" s="1"/>
  <c r="AG66" i="3" s="1"/>
  <c r="AG67" i="3" s="1"/>
  <c r="AG68" i="3" s="1"/>
  <c r="AG69" i="3" s="1"/>
  <c r="AG70" i="3" s="1"/>
  <c r="AG71" i="3" s="1"/>
  <c r="AG72" i="3" s="1"/>
  <c r="AG73" i="3" s="1"/>
  <c r="AG74" i="3" s="1"/>
  <c r="AG75" i="3" s="1"/>
  <c r="AG76" i="3" s="1"/>
  <c r="AG77" i="3" s="1"/>
  <c r="AG78" i="3" s="1"/>
  <c r="AG79" i="3" s="1"/>
  <c r="AG80" i="3" s="1"/>
  <c r="AG81" i="3" s="1"/>
  <c r="AG82" i="3" s="1"/>
  <c r="AG83" i="3" s="1"/>
  <c r="AG84" i="3" s="1"/>
  <c r="AG85" i="3" s="1"/>
  <c r="AG86" i="3" s="1"/>
  <c r="AG87" i="3" s="1"/>
  <c r="AG88" i="3" s="1"/>
  <c r="AG89" i="3" s="1"/>
  <c r="AG90" i="3" s="1"/>
  <c r="AG91" i="3" s="1"/>
  <c r="AG92" i="3" s="1"/>
  <c r="AG93" i="3" s="1"/>
  <c r="AD14" i="3"/>
  <c r="AD15" i="3" s="1"/>
  <c r="AD16" i="3" s="1"/>
  <c r="AD17" i="3" s="1"/>
  <c r="AD18" i="3" s="1"/>
  <c r="AD19" i="3" s="1"/>
  <c r="AD20" i="3" s="1"/>
  <c r="AD21" i="3" s="1"/>
  <c r="AD22" i="3" s="1"/>
  <c r="AD23" i="3" s="1"/>
  <c r="AD24" i="3" s="1"/>
  <c r="AD25" i="3" s="1"/>
  <c r="AD26" i="3" s="1"/>
  <c r="AD27" i="3" s="1"/>
  <c r="AD28" i="3" s="1"/>
  <c r="AD29" i="3" s="1"/>
  <c r="AD30" i="3" s="1"/>
  <c r="AD31" i="3" s="1"/>
  <c r="AD32" i="3" s="1"/>
  <c r="AD33" i="3" s="1"/>
  <c r="AD34" i="3" s="1"/>
  <c r="AD35" i="3" s="1"/>
  <c r="AD36" i="3" s="1"/>
  <c r="AD37" i="3" s="1"/>
  <c r="AD38" i="3" s="1"/>
  <c r="AD39" i="3" s="1"/>
  <c r="AD40" i="3" s="1"/>
  <c r="AD41" i="3" s="1"/>
  <c r="AD42" i="3" s="1"/>
  <c r="AD43" i="3" s="1"/>
  <c r="AD44" i="3" s="1"/>
  <c r="AD45" i="3" s="1"/>
  <c r="AD46" i="3" s="1"/>
  <c r="AD47" i="3" s="1"/>
  <c r="AD48" i="3" s="1"/>
  <c r="AD49" i="3" s="1"/>
  <c r="AD50" i="3" s="1"/>
  <c r="AD51" i="3" s="1"/>
  <c r="AD52" i="3" s="1"/>
  <c r="AD53" i="3" s="1"/>
  <c r="AD54" i="3" s="1"/>
  <c r="AD55" i="3" s="1"/>
  <c r="AD56" i="3" s="1"/>
  <c r="AD57" i="3" s="1"/>
  <c r="AD58" i="3" s="1"/>
  <c r="AD59" i="3" s="1"/>
  <c r="AD60" i="3" s="1"/>
  <c r="AD61" i="3" s="1"/>
  <c r="AD62" i="3" s="1"/>
  <c r="AD63" i="3" s="1"/>
  <c r="AD64" i="3" s="1"/>
  <c r="AD65" i="3" s="1"/>
  <c r="AD66" i="3" s="1"/>
  <c r="AD67" i="3" s="1"/>
  <c r="AD68" i="3" s="1"/>
  <c r="AD69" i="3" s="1"/>
  <c r="AD70" i="3" s="1"/>
  <c r="AD71" i="3" s="1"/>
  <c r="AD72" i="3" s="1"/>
  <c r="AD73" i="3" s="1"/>
  <c r="AD74" i="3" s="1"/>
  <c r="AD75" i="3" s="1"/>
  <c r="AD76" i="3" s="1"/>
  <c r="AD77" i="3" s="1"/>
  <c r="AD78" i="3" s="1"/>
  <c r="AD79" i="3" s="1"/>
  <c r="AD80" i="3" s="1"/>
  <c r="AD81" i="3" s="1"/>
  <c r="AD82" i="3" s="1"/>
  <c r="AD83" i="3" s="1"/>
  <c r="AD84" i="3" s="1"/>
  <c r="AD85" i="3" s="1"/>
  <c r="AD86" i="3" s="1"/>
  <c r="AD87" i="3" s="1"/>
  <c r="AD88" i="3" s="1"/>
  <c r="AD89" i="3" s="1"/>
  <c r="AD90" i="3" s="1"/>
  <c r="AD91" i="3" s="1"/>
  <c r="AD92" i="3" s="1"/>
  <c r="AD93" i="3" s="1"/>
  <c r="Z14" i="3"/>
  <c r="T14" i="3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O14" i="3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O62" i="3" s="1"/>
  <c r="O63" i="3" s="1"/>
  <c r="O64" i="3" s="1"/>
  <c r="O65" i="3" s="1"/>
  <c r="O66" i="3" s="1"/>
  <c r="O67" i="3" s="1"/>
  <c r="O68" i="3" s="1"/>
  <c r="O69" i="3" s="1"/>
  <c r="O70" i="3" s="1"/>
  <c r="O71" i="3" s="1"/>
  <c r="O72" i="3" s="1"/>
  <c r="O73" i="3" s="1"/>
  <c r="O74" i="3" s="1"/>
  <c r="O75" i="3" s="1"/>
  <c r="O76" i="3" s="1"/>
  <c r="O77" i="3" s="1"/>
  <c r="O78" i="3" s="1"/>
  <c r="O79" i="3" s="1"/>
  <c r="O80" i="3" s="1"/>
  <c r="O81" i="3" s="1"/>
  <c r="O82" i="3" s="1"/>
  <c r="O83" i="3" s="1"/>
  <c r="O84" i="3" s="1"/>
  <c r="O85" i="3" s="1"/>
  <c r="O86" i="3" s="1"/>
  <c r="O87" i="3" s="1"/>
  <c r="O88" i="3" s="1"/>
  <c r="O89" i="3" s="1"/>
  <c r="O90" i="3" s="1"/>
  <c r="O91" i="3" s="1"/>
  <c r="O92" i="3" s="1"/>
  <c r="O93" i="3" s="1"/>
  <c r="I14" i="3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I84" i="3" s="1"/>
  <c r="I85" i="3" s="1"/>
  <c r="I86" i="3" s="1"/>
  <c r="I87" i="3" s="1"/>
  <c r="I88" i="3" s="1"/>
  <c r="I89" i="3" s="1"/>
  <c r="I90" i="3" s="1"/>
  <c r="I91" i="3" s="1"/>
  <c r="I92" i="3" s="1"/>
  <c r="I93" i="3" s="1"/>
  <c r="C14" i="3"/>
  <c r="AE10" i="3"/>
  <c r="U10" i="3"/>
  <c r="Q10" i="3"/>
  <c r="J10" i="3"/>
  <c r="AE9" i="3"/>
  <c r="U9" i="3"/>
  <c r="Q9" i="3"/>
  <c r="J9" i="3"/>
  <c r="AE8" i="3"/>
  <c r="U8" i="3"/>
  <c r="Q8" i="3"/>
  <c r="J8" i="3"/>
  <c r="AE7" i="3"/>
  <c r="U7" i="3"/>
  <c r="Q7" i="3"/>
  <c r="J7" i="3"/>
  <c r="AE6" i="3"/>
  <c r="U6" i="3"/>
  <c r="Q6" i="3"/>
  <c r="J6" i="3"/>
  <c r="AE5" i="3"/>
  <c r="U5" i="3"/>
  <c r="Q5" i="3"/>
  <c r="J5" i="3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D9" i="2"/>
  <c r="E8" i="2"/>
  <c r="D8" i="2"/>
  <c r="C8" i="2"/>
  <c r="G33" i="5" l="1"/>
  <c r="G24" i="5"/>
  <c r="D40" i="4"/>
  <c r="F40" i="4" s="1"/>
  <c r="H40" i="4" s="1"/>
  <c r="H45" i="4" s="1"/>
  <c r="H48" i="4" s="1"/>
  <c r="P19" i="3"/>
  <c r="P27" i="3"/>
  <c r="P35" i="3"/>
  <c r="P43" i="3"/>
  <c r="P51" i="3"/>
  <c r="P59" i="3"/>
  <c r="P67" i="3"/>
  <c r="P75" i="3"/>
  <c r="P83" i="3"/>
  <c r="P91" i="3"/>
  <c r="P61" i="3"/>
  <c r="P93" i="3"/>
  <c r="P66" i="3"/>
  <c r="P20" i="3"/>
  <c r="P28" i="3"/>
  <c r="P36" i="3"/>
  <c r="P44" i="3"/>
  <c r="P52" i="3"/>
  <c r="P60" i="3"/>
  <c r="P68" i="3"/>
  <c r="P76" i="3"/>
  <c r="P84" i="3"/>
  <c r="P92" i="3"/>
  <c r="P53" i="3"/>
  <c r="P85" i="3"/>
  <c r="P26" i="3"/>
  <c r="P74" i="3"/>
  <c r="P21" i="3"/>
  <c r="P29" i="3"/>
  <c r="P37" i="3"/>
  <c r="P45" i="3"/>
  <c r="P69" i="3"/>
  <c r="P77" i="3"/>
  <c r="P42" i="3"/>
  <c r="P14" i="3"/>
  <c r="P22" i="3"/>
  <c r="P30" i="3"/>
  <c r="P38" i="3"/>
  <c r="P46" i="3"/>
  <c r="P54" i="3"/>
  <c r="P62" i="3"/>
  <c r="P70" i="3"/>
  <c r="P78" i="3"/>
  <c r="P86" i="3"/>
  <c r="P13" i="3"/>
  <c r="P58" i="3"/>
  <c r="P15" i="3"/>
  <c r="P23" i="3"/>
  <c r="P31" i="3"/>
  <c r="P39" i="3"/>
  <c r="P47" i="3"/>
  <c r="P55" i="3"/>
  <c r="P63" i="3"/>
  <c r="P71" i="3"/>
  <c r="P79" i="3"/>
  <c r="P87" i="3"/>
  <c r="P82" i="3"/>
  <c r="P16" i="3"/>
  <c r="P24" i="3"/>
  <c r="P32" i="3"/>
  <c r="P40" i="3"/>
  <c r="P48" i="3"/>
  <c r="P56" i="3"/>
  <c r="P64" i="3"/>
  <c r="P72" i="3"/>
  <c r="P80" i="3"/>
  <c r="P88" i="3"/>
  <c r="P18" i="3"/>
  <c r="P50" i="3"/>
  <c r="P17" i="3"/>
  <c r="P25" i="3"/>
  <c r="P33" i="3"/>
  <c r="P41" i="3"/>
  <c r="P49" i="3"/>
  <c r="P57" i="3"/>
  <c r="P65" i="3"/>
  <c r="P73" i="3"/>
  <c r="P81" i="3"/>
  <c r="P89" i="3"/>
  <c r="P34" i="3"/>
  <c r="P90" i="3"/>
  <c r="U14" i="3"/>
  <c r="U22" i="3"/>
  <c r="U30" i="3"/>
  <c r="U38" i="3"/>
  <c r="U46" i="3"/>
  <c r="U54" i="3"/>
  <c r="U62" i="3"/>
  <c r="U70" i="3"/>
  <c r="U78" i="3"/>
  <c r="U86" i="3"/>
  <c r="U13" i="3"/>
  <c r="U53" i="3"/>
  <c r="U15" i="3"/>
  <c r="U23" i="3"/>
  <c r="U31" i="3"/>
  <c r="U39" i="3"/>
  <c r="U47" i="3"/>
  <c r="U55" i="3"/>
  <c r="U63" i="3"/>
  <c r="U71" i="3"/>
  <c r="U79" i="3"/>
  <c r="U87" i="3"/>
  <c r="U61" i="3"/>
  <c r="U16" i="3"/>
  <c r="U24" i="3"/>
  <c r="U32" i="3"/>
  <c r="U40" i="3"/>
  <c r="U48" i="3"/>
  <c r="U56" i="3"/>
  <c r="U64" i="3"/>
  <c r="U72" i="3"/>
  <c r="U80" i="3"/>
  <c r="U88" i="3"/>
  <c r="U45" i="3"/>
  <c r="U85" i="3"/>
  <c r="U17" i="3"/>
  <c r="U25" i="3"/>
  <c r="U33" i="3"/>
  <c r="U41" i="3"/>
  <c r="U49" i="3"/>
  <c r="U57" i="3"/>
  <c r="U65" i="3"/>
  <c r="U73" i="3"/>
  <c r="U81" i="3"/>
  <c r="U89" i="3"/>
  <c r="U37" i="3"/>
  <c r="U18" i="3"/>
  <c r="U26" i="3"/>
  <c r="U34" i="3"/>
  <c r="U42" i="3"/>
  <c r="U50" i="3"/>
  <c r="U58" i="3"/>
  <c r="U66" i="3"/>
  <c r="U74" i="3"/>
  <c r="U82" i="3"/>
  <c r="U90" i="3"/>
  <c r="U69" i="3"/>
  <c r="U19" i="3"/>
  <c r="U27" i="3"/>
  <c r="U35" i="3"/>
  <c r="U43" i="3"/>
  <c r="U51" i="3"/>
  <c r="U59" i="3"/>
  <c r="U67" i="3"/>
  <c r="U75" i="3"/>
  <c r="U83" i="3"/>
  <c r="U91" i="3"/>
  <c r="U21" i="3"/>
  <c r="U93" i="3"/>
  <c r="U20" i="3"/>
  <c r="U28" i="3"/>
  <c r="U36" i="3"/>
  <c r="U44" i="3"/>
  <c r="U52" i="3"/>
  <c r="U60" i="3"/>
  <c r="U68" i="3"/>
  <c r="U76" i="3"/>
  <c r="U84" i="3"/>
  <c r="U92" i="3"/>
  <c r="U29" i="3"/>
  <c r="U77" i="3"/>
  <c r="Z15" i="3"/>
  <c r="AA14" i="3"/>
  <c r="AE21" i="3"/>
  <c r="AE29" i="3"/>
  <c r="AE37" i="3"/>
  <c r="AE45" i="3"/>
  <c r="AE53" i="3"/>
  <c r="AE61" i="3"/>
  <c r="AE69" i="3"/>
  <c r="AE77" i="3"/>
  <c r="AE85" i="3"/>
  <c r="AE93" i="3"/>
  <c r="AE14" i="3"/>
  <c r="AE22" i="3"/>
  <c r="AE30" i="3"/>
  <c r="AE38" i="3"/>
  <c r="AE46" i="3"/>
  <c r="AE54" i="3"/>
  <c r="AE62" i="3"/>
  <c r="AE70" i="3"/>
  <c r="AE78" i="3"/>
  <c r="AE86" i="3"/>
  <c r="AE13" i="3"/>
  <c r="AE36" i="3"/>
  <c r="AE15" i="3"/>
  <c r="AE23" i="3"/>
  <c r="AE31" i="3"/>
  <c r="AE39" i="3"/>
  <c r="AE47" i="3"/>
  <c r="AE55" i="3"/>
  <c r="AE63" i="3"/>
  <c r="AE71" i="3"/>
  <c r="AE79" i="3"/>
  <c r="AE87" i="3"/>
  <c r="AE28" i="3"/>
  <c r="AE60" i="3"/>
  <c r="AE84" i="3"/>
  <c r="AE16" i="3"/>
  <c r="AE24" i="3"/>
  <c r="AE32" i="3"/>
  <c r="AE40" i="3"/>
  <c r="AE48" i="3"/>
  <c r="AE56" i="3"/>
  <c r="AE64" i="3"/>
  <c r="AE72" i="3"/>
  <c r="AE80" i="3"/>
  <c r="AE88" i="3"/>
  <c r="AE68" i="3"/>
  <c r="AE17" i="3"/>
  <c r="AE25" i="3"/>
  <c r="AE33" i="3"/>
  <c r="AE41" i="3"/>
  <c r="AE49" i="3"/>
  <c r="AE57" i="3"/>
  <c r="AE65" i="3"/>
  <c r="AE73" i="3"/>
  <c r="AE81" i="3"/>
  <c r="AE89" i="3"/>
  <c r="AE18" i="3"/>
  <c r="AE26" i="3"/>
  <c r="AE34" i="3"/>
  <c r="AE42" i="3"/>
  <c r="AE50" i="3"/>
  <c r="AE58" i="3"/>
  <c r="AE66" i="3"/>
  <c r="AE74" i="3"/>
  <c r="AE82" i="3"/>
  <c r="AE90" i="3"/>
  <c r="AE44" i="3"/>
  <c r="AE92" i="3"/>
  <c r="AE19" i="3"/>
  <c r="AE27" i="3"/>
  <c r="AE35" i="3"/>
  <c r="AE43" i="3"/>
  <c r="AE51" i="3"/>
  <c r="AE59" i="3"/>
  <c r="AE67" i="3"/>
  <c r="AE75" i="3"/>
  <c r="AE83" i="3"/>
  <c r="AE91" i="3"/>
  <c r="AE20" i="3"/>
  <c r="AE52" i="3"/>
  <c r="AE76" i="3"/>
  <c r="J14" i="3"/>
  <c r="J22" i="3"/>
  <c r="J30" i="3"/>
  <c r="J38" i="3"/>
  <c r="J46" i="3"/>
  <c r="J54" i="3"/>
  <c r="J62" i="3"/>
  <c r="J70" i="3"/>
  <c r="J78" i="3"/>
  <c r="J86" i="3"/>
  <c r="J13" i="3"/>
  <c r="J15" i="3"/>
  <c r="J23" i="3"/>
  <c r="J31" i="3"/>
  <c r="J39" i="3"/>
  <c r="J47" i="3"/>
  <c r="J55" i="3"/>
  <c r="J63" i="3"/>
  <c r="J71" i="3"/>
  <c r="J79" i="3"/>
  <c r="J87" i="3"/>
  <c r="J16" i="3"/>
  <c r="J24" i="3"/>
  <c r="J32" i="3"/>
  <c r="J40" i="3"/>
  <c r="J48" i="3"/>
  <c r="J56" i="3"/>
  <c r="J64" i="3"/>
  <c r="J72" i="3"/>
  <c r="J80" i="3"/>
  <c r="J88" i="3"/>
  <c r="J35" i="3"/>
  <c r="J43" i="3"/>
  <c r="J67" i="3"/>
  <c r="J83" i="3"/>
  <c r="J76" i="3"/>
  <c r="J29" i="3"/>
  <c r="J53" i="3"/>
  <c r="J85" i="3"/>
  <c r="J17" i="3"/>
  <c r="J25" i="3"/>
  <c r="J33" i="3"/>
  <c r="J41" i="3"/>
  <c r="J49" i="3"/>
  <c r="J57" i="3"/>
  <c r="J65" i="3"/>
  <c r="J73" i="3"/>
  <c r="J81" i="3"/>
  <c r="J89" i="3"/>
  <c r="J27" i="3"/>
  <c r="J51" i="3"/>
  <c r="J75" i="3"/>
  <c r="J92" i="3"/>
  <c r="J21" i="3"/>
  <c r="J69" i="3"/>
  <c r="J18" i="3"/>
  <c r="J26" i="3"/>
  <c r="J34" i="3"/>
  <c r="J42" i="3"/>
  <c r="J50" i="3"/>
  <c r="J58" i="3"/>
  <c r="J66" i="3"/>
  <c r="J74" i="3"/>
  <c r="J82" i="3"/>
  <c r="J90" i="3"/>
  <c r="J19" i="3"/>
  <c r="J59" i="3"/>
  <c r="J91" i="3"/>
  <c r="J68" i="3"/>
  <c r="J45" i="3"/>
  <c r="J93" i="3"/>
  <c r="J20" i="3"/>
  <c r="J28" i="3"/>
  <c r="J36" i="3"/>
  <c r="J44" i="3"/>
  <c r="J52" i="3"/>
  <c r="J60" i="3"/>
  <c r="J84" i="3"/>
  <c r="J37" i="3"/>
  <c r="J61" i="3"/>
  <c r="J77" i="3"/>
  <c r="C15" i="3"/>
  <c r="D14" i="3"/>
  <c r="I34" i="11"/>
  <c r="J34" i="11" s="1"/>
  <c r="L34" i="11" s="1"/>
  <c r="H35" i="11"/>
  <c r="G36" i="11"/>
  <c r="M8" i="11"/>
  <c r="G9" i="11"/>
  <c r="H8" i="11"/>
  <c r="P7" i="11"/>
  <c r="I7" i="11"/>
  <c r="J7" i="11" s="1"/>
  <c r="L7" i="11" s="1"/>
  <c r="N7" i="11" s="1"/>
  <c r="Q7" i="11"/>
  <c r="E7" i="7"/>
  <c r="F7" i="7" s="1"/>
  <c r="E6" i="7"/>
  <c r="F6" i="7" s="1"/>
  <c r="I4" i="7"/>
  <c r="J4" i="7"/>
  <c r="AH13" i="3"/>
  <c r="E13" i="5"/>
  <c r="Z16" i="3" l="1"/>
  <c r="AA15" i="3"/>
  <c r="AH15" i="3" s="1"/>
  <c r="C16" i="3"/>
  <c r="D15" i="3"/>
  <c r="H36" i="11"/>
  <c r="G37" i="11"/>
  <c r="I35" i="11"/>
  <c r="J35" i="11"/>
  <c r="L35" i="11" s="1"/>
  <c r="I8" i="11"/>
  <c r="L8" i="11" s="1"/>
  <c r="N8" i="11" s="1"/>
  <c r="O8" i="11"/>
  <c r="P8" i="11"/>
  <c r="Q8" i="11"/>
  <c r="M9" i="11"/>
  <c r="G10" i="11"/>
  <c r="AH14" i="3"/>
  <c r="G14" i="5"/>
  <c r="G44" i="5" s="1"/>
  <c r="G45" i="5" s="1"/>
  <c r="F5" i="7"/>
  <c r="E5" i="7"/>
  <c r="K4" i="7"/>
  <c r="E4" i="7" s="1"/>
  <c r="F4" i="7"/>
  <c r="E8" i="7"/>
  <c r="F8" i="7"/>
  <c r="Z17" i="3" l="1"/>
  <c r="AA16" i="3"/>
  <c r="C17" i="3"/>
  <c r="D16" i="3"/>
  <c r="H37" i="11"/>
  <c r="G38" i="11"/>
  <c r="I36" i="11"/>
  <c r="J36" i="11"/>
  <c r="L36" i="11" s="1"/>
  <c r="I9" i="11"/>
  <c r="J9" i="11" s="1"/>
  <c r="L9" i="11" s="1"/>
  <c r="N9" i="11" s="1"/>
  <c r="P9" i="11"/>
  <c r="O9" i="11"/>
  <c r="Q9" i="11"/>
  <c r="G11" i="11"/>
  <c r="H10" i="11"/>
  <c r="M10" i="11"/>
  <c r="AH16" i="3"/>
  <c r="Z18" i="3" l="1"/>
  <c r="AA17" i="3"/>
  <c r="C18" i="3"/>
  <c r="D17" i="3"/>
  <c r="H38" i="11"/>
  <c r="G39" i="11"/>
  <c r="I37" i="11"/>
  <c r="J37" i="11" s="1"/>
  <c r="L37" i="11" s="1"/>
  <c r="H11" i="11"/>
  <c r="M11" i="11"/>
  <c r="G12" i="11"/>
  <c r="J10" i="11"/>
  <c r="L10" i="11" s="1"/>
  <c r="N10" i="11" s="1"/>
  <c r="P10" i="11"/>
  <c r="O10" i="11"/>
  <c r="Q10" i="11"/>
  <c r="AH17" i="3"/>
  <c r="Z19" i="3" l="1"/>
  <c r="AA18" i="3"/>
  <c r="C19" i="3"/>
  <c r="D18" i="3"/>
  <c r="H39" i="11"/>
  <c r="G40" i="11"/>
  <c r="I38" i="11"/>
  <c r="J38" i="11"/>
  <c r="L38" i="11" s="1"/>
  <c r="M12" i="11"/>
  <c r="G13" i="11"/>
  <c r="H12" i="11"/>
  <c r="Q11" i="11"/>
  <c r="P11" i="11"/>
  <c r="O11" i="11"/>
  <c r="I11" i="11"/>
  <c r="J11" i="11" s="1"/>
  <c r="L11" i="11" s="1"/>
  <c r="N11" i="11" s="1"/>
  <c r="AH18" i="3"/>
  <c r="Z20" i="3" l="1"/>
  <c r="AA19" i="3"/>
  <c r="C20" i="3"/>
  <c r="D19" i="3"/>
  <c r="H40" i="11"/>
  <c r="G41" i="11"/>
  <c r="I39" i="11"/>
  <c r="J39" i="11"/>
  <c r="L39" i="11" s="1"/>
  <c r="O12" i="11"/>
  <c r="I12" i="11"/>
  <c r="J12" i="11" s="1"/>
  <c r="L12" i="11" s="1"/>
  <c r="N12" i="11" s="1"/>
  <c r="P12" i="11"/>
  <c r="Q12" i="11"/>
  <c r="G14" i="11"/>
  <c r="M13" i="11"/>
  <c r="H13" i="11"/>
  <c r="AH19" i="3"/>
  <c r="Z21" i="3" l="1"/>
  <c r="AA20" i="3"/>
  <c r="C21" i="3"/>
  <c r="D20" i="3"/>
  <c r="H41" i="11"/>
  <c r="G42" i="11"/>
  <c r="I40" i="11"/>
  <c r="J40" i="11" s="1"/>
  <c r="L40" i="11" s="1"/>
  <c r="G15" i="11"/>
  <c r="H14" i="11"/>
  <c r="M14" i="11"/>
  <c r="I13" i="11"/>
  <c r="J13" i="11" s="1"/>
  <c r="L13" i="11" s="1"/>
  <c r="N13" i="11" s="1"/>
  <c r="P13" i="11"/>
  <c r="O13" i="11"/>
  <c r="Q13" i="11"/>
  <c r="AH20" i="3"/>
  <c r="Z22" i="3" l="1"/>
  <c r="AA21" i="3"/>
  <c r="C22" i="3"/>
  <c r="D21" i="3"/>
  <c r="H42" i="11"/>
  <c r="G43" i="11"/>
  <c r="I41" i="11"/>
  <c r="J41" i="11" s="1"/>
  <c r="L41" i="11" s="1"/>
  <c r="M15" i="11"/>
  <c r="H15" i="11"/>
  <c r="Q15" i="11" s="1"/>
  <c r="G16" i="11"/>
  <c r="I14" i="11"/>
  <c r="J14" i="11" s="1"/>
  <c r="L14" i="11" s="1"/>
  <c r="N14" i="11" s="1"/>
  <c r="P14" i="11"/>
  <c r="O14" i="11"/>
  <c r="Q14" i="11"/>
  <c r="AH21" i="3"/>
  <c r="Z23" i="3" l="1"/>
  <c r="AA22" i="3"/>
  <c r="C23" i="3"/>
  <c r="D22" i="3"/>
  <c r="H43" i="11"/>
  <c r="G44" i="11"/>
  <c r="I42" i="11"/>
  <c r="J42" i="11" s="1"/>
  <c r="L42" i="11" s="1"/>
  <c r="M42" i="11"/>
  <c r="M41" i="11"/>
  <c r="M36" i="11"/>
  <c r="I32" i="11"/>
  <c r="J32" i="11" s="1"/>
  <c r="L32" i="11" s="1"/>
  <c r="M32" i="11"/>
  <c r="G17" i="11"/>
  <c r="H16" i="11"/>
  <c r="Q16" i="11" s="1"/>
  <c r="M40" i="11"/>
  <c r="M35" i="11"/>
  <c r="M37" i="11"/>
  <c r="M43" i="11"/>
  <c r="M34" i="11"/>
  <c r="M33" i="11"/>
  <c r="M38" i="11"/>
  <c r="P15" i="11"/>
  <c r="O15" i="11"/>
  <c r="I15" i="11"/>
  <c r="J15" i="11" s="1"/>
  <c r="L15" i="11" s="1"/>
  <c r="N15" i="11" s="1"/>
  <c r="M39" i="11"/>
  <c r="AH22" i="3"/>
  <c r="Z24" i="3" l="1"/>
  <c r="AA23" i="3"/>
  <c r="C24" i="3"/>
  <c r="D23" i="3"/>
  <c r="H44" i="11"/>
  <c r="G45" i="11"/>
  <c r="I43" i="11"/>
  <c r="J43" i="11" s="1"/>
  <c r="L43" i="11" s="1"/>
  <c r="G18" i="11"/>
  <c r="M17" i="11"/>
  <c r="H17" i="11"/>
  <c r="O16" i="11"/>
  <c r="I16" i="11"/>
  <c r="J16" i="11" s="1"/>
  <c r="L16" i="11" s="1"/>
  <c r="N16" i="11" s="1"/>
  <c r="P16" i="11"/>
  <c r="AH23" i="3"/>
  <c r="Z25" i="3" l="1"/>
  <c r="AA24" i="3"/>
  <c r="C25" i="3"/>
  <c r="D24" i="3"/>
  <c r="H45" i="11"/>
  <c r="M45" i="11" s="1"/>
  <c r="G46" i="11"/>
  <c r="I44" i="11"/>
  <c r="J44" i="11"/>
  <c r="L44" i="11" s="1"/>
  <c r="M44" i="11"/>
  <c r="I17" i="11"/>
  <c r="P17" i="11"/>
  <c r="O17" i="11"/>
  <c r="Q17" i="11"/>
  <c r="G19" i="11"/>
  <c r="H18" i="11"/>
  <c r="M18" i="11"/>
  <c r="J17" i="11"/>
  <c r="L17" i="11" s="1"/>
  <c r="N17" i="11" s="1"/>
  <c r="AH24" i="3"/>
  <c r="Z26" i="3" l="1"/>
  <c r="AA25" i="3"/>
  <c r="AH25" i="3" s="1"/>
  <c r="C26" i="3"/>
  <c r="D25" i="3"/>
  <c r="H46" i="11"/>
  <c r="M46" i="11"/>
  <c r="G47" i="11"/>
  <c r="I45" i="11"/>
  <c r="J45" i="11" s="1"/>
  <c r="L45" i="11" s="1"/>
  <c r="I18" i="11"/>
  <c r="J18" i="11" s="1"/>
  <c r="L18" i="11" s="1"/>
  <c r="N18" i="11" s="1"/>
  <c r="P18" i="11"/>
  <c r="O18" i="11"/>
  <c r="Q18" i="11"/>
  <c r="H19" i="11"/>
  <c r="Q19" i="11" s="1"/>
  <c r="M19" i="11"/>
  <c r="G20" i="11"/>
  <c r="Z27" i="3" l="1"/>
  <c r="AA26" i="3"/>
  <c r="C27" i="3"/>
  <c r="D26" i="3"/>
  <c r="H47" i="11"/>
  <c r="G48" i="11"/>
  <c r="M47" i="11"/>
  <c r="I46" i="11"/>
  <c r="J46" i="11" s="1"/>
  <c r="L46" i="11" s="1"/>
  <c r="M20" i="11"/>
  <c r="G21" i="11"/>
  <c r="H20" i="11"/>
  <c r="P19" i="11"/>
  <c r="O19" i="11"/>
  <c r="I19" i="11"/>
  <c r="J19" i="11" s="1"/>
  <c r="L19" i="11" s="1"/>
  <c r="N19" i="11" s="1"/>
  <c r="AH26" i="3"/>
  <c r="Z28" i="3" l="1"/>
  <c r="AA27" i="3"/>
  <c r="C28" i="3"/>
  <c r="D27" i="3"/>
  <c r="H48" i="11"/>
  <c r="G49" i="11"/>
  <c r="I47" i="11"/>
  <c r="J47" i="11" s="1"/>
  <c r="L47" i="11" s="1"/>
  <c r="I20" i="11"/>
  <c r="J20" i="11" s="1"/>
  <c r="L20" i="11" s="1"/>
  <c r="N20" i="11" s="1"/>
  <c r="O20" i="11"/>
  <c r="P20" i="11"/>
  <c r="Q20" i="11"/>
  <c r="M21" i="11"/>
  <c r="G22" i="11"/>
  <c r="H21" i="11"/>
  <c r="AH27" i="3"/>
  <c r="Z29" i="3" l="1"/>
  <c r="AA28" i="3"/>
  <c r="C29" i="3"/>
  <c r="D28" i="3"/>
  <c r="H49" i="11"/>
  <c r="G50" i="11"/>
  <c r="I48" i="11"/>
  <c r="J48" i="11"/>
  <c r="L48" i="11" s="1"/>
  <c r="M48" i="11"/>
  <c r="I21" i="11"/>
  <c r="J21" i="11" s="1"/>
  <c r="L21" i="11" s="1"/>
  <c r="N21" i="11" s="1"/>
  <c r="P21" i="11"/>
  <c r="O21" i="11"/>
  <c r="Q21" i="11"/>
  <c r="G23" i="11"/>
  <c r="H22" i="11"/>
  <c r="M22" i="11"/>
  <c r="AH28" i="3"/>
  <c r="Z30" i="3" l="1"/>
  <c r="AA29" i="3"/>
  <c r="AH29" i="3" s="1"/>
  <c r="C30" i="3"/>
  <c r="D29" i="3"/>
  <c r="H50" i="11"/>
  <c r="G51" i="11"/>
  <c r="I49" i="11"/>
  <c r="J49" i="11"/>
  <c r="L49" i="11" s="1"/>
  <c r="M49" i="11"/>
  <c r="M23" i="11"/>
  <c r="H23" i="11"/>
  <c r="G24" i="11"/>
  <c r="I22" i="11"/>
  <c r="J22" i="11" s="1"/>
  <c r="L22" i="11" s="1"/>
  <c r="N22" i="11" s="1"/>
  <c r="P22" i="11"/>
  <c r="O22" i="11"/>
  <c r="Q22" i="11"/>
  <c r="Z31" i="3" l="1"/>
  <c r="AA30" i="3"/>
  <c r="AH30" i="3" s="1"/>
  <c r="C31" i="3"/>
  <c r="D30" i="3"/>
  <c r="H51" i="11"/>
  <c r="G52" i="11"/>
  <c r="I50" i="11"/>
  <c r="J50" i="11"/>
  <c r="L50" i="11" s="1"/>
  <c r="M50" i="11"/>
  <c r="M24" i="11"/>
  <c r="G25" i="11"/>
  <c r="H24" i="11"/>
  <c r="P23" i="11"/>
  <c r="O23" i="11"/>
  <c r="I23" i="11"/>
  <c r="J23" i="11" s="1"/>
  <c r="L23" i="11" s="1"/>
  <c r="N23" i="11" s="1"/>
  <c r="Q23" i="11"/>
  <c r="Z32" i="3" l="1"/>
  <c r="AA31" i="3"/>
  <c r="C32" i="3"/>
  <c r="D31" i="3"/>
  <c r="H52" i="11"/>
  <c r="M52" i="11" s="1"/>
  <c r="G53" i="11"/>
  <c r="I51" i="11"/>
  <c r="J51" i="11"/>
  <c r="L51" i="11" s="1"/>
  <c r="M51" i="11"/>
  <c r="M25" i="11"/>
  <c r="H25" i="11"/>
  <c r="I24" i="11"/>
  <c r="J24" i="11" s="1"/>
  <c r="L24" i="11" s="1"/>
  <c r="N24" i="11" s="1"/>
  <c r="P24" i="11"/>
  <c r="O24" i="11"/>
  <c r="Q24" i="11"/>
  <c r="AH31" i="3"/>
  <c r="Z33" i="3" l="1"/>
  <c r="AA32" i="3"/>
  <c r="C33" i="3"/>
  <c r="D32" i="3"/>
  <c r="H53" i="11"/>
  <c r="G54" i="11"/>
  <c r="I52" i="11"/>
  <c r="J52" i="11"/>
  <c r="L52" i="11" s="1"/>
  <c r="I25" i="11"/>
  <c r="J25" i="11" s="1"/>
  <c r="L25" i="11" s="1"/>
  <c r="N25" i="11" s="1"/>
  <c r="P25" i="11"/>
  <c r="O25" i="11"/>
  <c r="Q25" i="11"/>
  <c r="AH32" i="3"/>
  <c r="Z34" i="3" l="1"/>
  <c r="AA33" i="3"/>
  <c r="C34" i="3"/>
  <c r="D33" i="3"/>
  <c r="H54" i="11"/>
  <c r="M54" i="11"/>
  <c r="G55" i="11"/>
  <c r="I53" i="11"/>
  <c r="J53" i="11" s="1"/>
  <c r="L53" i="11" s="1"/>
  <c r="M53" i="11"/>
  <c r="AH33" i="3"/>
  <c r="Z35" i="3" l="1"/>
  <c r="AA34" i="3"/>
  <c r="AH34" i="3" s="1"/>
  <c r="C35" i="3"/>
  <c r="D34" i="3"/>
  <c r="H55" i="11"/>
  <c r="G56" i="11"/>
  <c r="I54" i="11"/>
  <c r="J54" i="11"/>
  <c r="L54" i="11" s="1"/>
  <c r="Z36" i="3" l="1"/>
  <c r="AA35" i="3"/>
  <c r="C36" i="3"/>
  <c r="D35" i="3"/>
  <c r="H56" i="11"/>
  <c r="G57" i="11"/>
  <c r="I55" i="11"/>
  <c r="J55" i="11"/>
  <c r="L55" i="11" s="1"/>
  <c r="M55" i="11"/>
  <c r="AH35" i="3"/>
  <c r="Z37" i="3" l="1"/>
  <c r="AA36" i="3"/>
  <c r="AH36" i="3" s="1"/>
  <c r="C37" i="3"/>
  <c r="D36" i="3"/>
  <c r="H57" i="11"/>
  <c r="G58" i="11"/>
  <c r="I56" i="11"/>
  <c r="J56" i="11"/>
  <c r="L56" i="11" s="1"/>
  <c r="M56" i="11"/>
  <c r="Z38" i="3" l="1"/>
  <c r="AA37" i="3"/>
  <c r="C38" i="3"/>
  <c r="D37" i="3"/>
  <c r="H58" i="11"/>
  <c r="G59" i="11"/>
  <c r="I57" i="11"/>
  <c r="J57" i="11"/>
  <c r="L57" i="11" s="1"/>
  <c r="M57" i="11"/>
  <c r="AH37" i="3"/>
  <c r="Z39" i="3" l="1"/>
  <c r="AA38" i="3"/>
  <c r="AH38" i="3" s="1"/>
  <c r="C39" i="3"/>
  <c r="D38" i="3"/>
  <c r="H59" i="11"/>
  <c r="M59" i="11" s="1"/>
  <c r="G60" i="11"/>
  <c r="I58" i="11"/>
  <c r="J58" i="11"/>
  <c r="L58" i="11" s="1"/>
  <c r="M58" i="11"/>
  <c r="Z40" i="3" l="1"/>
  <c r="AA39" i="3"/>
  <c r="AH39" i="3" s="1"/>
  <c r="C40" i="3"/>
  <c r="D39" i="3"/>
  <c r="H60" i="11"/>
  <c r="M60" i="11" s="1"/>
  <c r="G61" i="11"/>
  <c r="I59" i="11"/>
  <c r="J59" i="11" s="1"/>
  <c r="L59" i="11" s="1"/>
  <c r="Z41" i="3" l="1"/>
  <c r="AA40" i="3"/>
  <c r="AH40" i="3" s="1"/>
  <c r="C41" i="3"/>
  <c r="D40" i="3"/>
  <c r="H61" i="11"/>
  <c r="G62" i="11"/>
  <c r="I60" i="11"/>
  <c r="J60" i="11"/>
  <c r="L60" i="11" s="1"/>
  <c r="Z42" i="3" l="1"/>
  <c r="AA41" i="3"/>
  <c r="AH41" i="3" s="1"/>
  <c r="C42" i="3"/>
  <c r="D41" i="3"/>
  <c r="H62" i="11"/>
  <c r="G63" i="11"/>
  <c r="I61" i="11"/>
  <c r="J61" i="11"/>
  <c r="L61" i="11" s="1"/>
  <c r="M61" i="11"/>
  <c r="Z43" i="3" l="1"/>
  <c r="AA42" i="3"/>
  <c r="C43" i="3"/>
  <c r="D42" i="3"/>
  <c r="H63" i="11"/>
  <c r="G64" i="11"/>
  <c r="I62" i="11"/>
  <c r="J62" i="11"/>
  <c r="L62" i="11" s="1"/>
  <c r="M62" i="11"/>
  <c r="AH42" i="3"/>
  <c r="Z44" i="3" l="1"/>
  <c r="AA43" i="3"/>
  <c r="C44" i="3"/>
  <c r="D43" i="3"/>
  <c r="H64" i="11"/>
  <c r="G65" i="11"/>
  <c r="H65" i="11" s="1"/>
  <c r="I63" i="11"/>
  <c r="J63" i="11" s="1"/>
  <c r="L63" i="11" s="1"/>
  <c r="M63" i="11"/>
  <c r="AH43" i="3"/>
  <c r="M65" i="11" l="1"/>
  <c r="Z45" i="3"/>
  <c r="AA44" i="3"/>
  <c r="AH44" i="3" s="1"/>
  <c r="C45" i="3"/>
  <c r="D44" i="3"/>
  <c r="I65" i="11"/>
  <c r="J65" i="11" s="1"/>
  <c r="L65" i="11" s="1"/>
  <c r="I64" i="11"/>
  <c r="J64" i="11" s="1"/>
  <c r="L64" i="11" s="1"/>
  <c r="M64" i="11"/>
  <c r="Z46" i="3" l="1"/>
  <c r="AA45" i="3"/>
  <c r="C46" i="3"/>
  <c r="D45" i="3"/>
  <c r="AH45" i="3"/>
  <c r="Z47" i="3" l="1"/>
  <c r="AA46" i="3"/>
  <c r="C47" i="3"/>
  <c r="D46" i="3"/>
  <c r="AH46" i="3"/>
  <c r="Z48" i="3" l="1"/>
  <c r="AA47" i="3"/>
  <c r="C48" i="3"/>
  <c r="D47" i="3"/>
  <c r="AH47" i="3"/>
  <c r="Z49" i="3" l="1"/>
  <c r="AA48" i="3"/>
  <c r="C49" i="3"/>
  <c r="D48" i="3"/>
  <c r="AH48" i="3"/>
  <c r="Z50" i="3" l="1"/>
  <c r="AA49" i="3"/>
  <c r="C50" i="3"/>
  <c r="D49" i="3"/>
  <c r="AH49" i="3"/>
  <c r="Z51" i="3" l="1"/>
  <c r="AA50" i="3"/>
  <c r="C51" i="3"/>
  <c r="D50" i="3"/>
  <c r="AH50" i="3"/>
  <c r="Z52" i="3" l="1"/>
  <c r="AA51" i="3"/>
  <c r="C52" i="3"/>
  <c r="D51" i="3"/>
  <c r="AH51" i="3"/>
  <c r="Z53" i="3" l="1"/>
  <c r="AA52" i="3"/>
  <c r="C53" i="3"/>
  <c r="D52" i="3"/>
  <c r="AH52" i="3"/>
  <c r="Z54" i="3" l="1"/>
  <c r="AA53" i="3"/>
  <c r="C54" i="3"/>
  <c r="D53" i="3"/>
  <c r="AH53" i="3"/>
  <c r="Z55" i="3" l="1"/>
  <c r="AA54" i="3"/>
  <c r="C55" i="3"/>
  <c r="D54" i="3"/>
  <c r="AH54" i="3"/>
  <c r="Z56" i="3" l="1"/>
  <c r="AA55" i="3"/>
  <c r="C56" i="3"/>
  <c r="D55" i="3"/>
  <c r="AH55" i="3"/>
  <c r="Z57" i="3" l="1"/>
  <c r="AA56" i="3"/>
  <c r="C57" i="3"/>
  <c r="D56" i="3"/>
  <c r="AH56" i="3"/>
  <c r="Z58" i="3" l="1"/>
  <c r="AA57" i="3"/>
  <c r="C58" i="3"/>
  <c r="D57" i="3"/>
  <c r="AH57" i="3"/>
  <c r="Z59" i="3" l="1"/>
  <c r="AA58" i="3"/>
  <c r="C59" i="3"/>
  <c r="D58" i="3"/>
  <c r="AH58" i="3"/>
  <c r="Z60" i="3" l="1"/>
  <c r="AA59" i="3"/>
  <c r="C60" i="3"/>
  <c r="D59" i="3"/>
  <c r="AH59" i="3"/>
  <c r="Z61" i="3" l="1"/>
  <c r="AA60" i="3"/>
  <c r="C61" i="3"/>
  <c r="D60" i="3"/>
  <c r="AH60" i="3"/>
  <c r="Z62" i="3" l="1"/>
  <c r="AA61" i="3"/>
  <c r="C62" i="3"/>
  <c r="D61" i="3"/>
  <c r="AH61" i="3"/>
  <c r="Z63" i="3" l="1"/>
  <c r="AA62" i="3"/>
  <c r="C63" i="3"/>
  <c r="D62" i="3"/>
  <c r="AH62" i="3"/>
  <c r="Z64" i="3" l="1"/>
  <c r="AA63" i="3"/>
  <c r="C64" i="3"/>
  <c r="D63" i="3"/>
  <c r="AH63" i="3"/>
  <c r="Z65" i="3" l="1"/>
  <c r="AA64" i="3"/>
  <c r="C65" i="3"/>
  <c r="D64" i="3"/>
  <c r="AH64" i="3"/>
  <c r="Z66" i="3" l="1"/>
  <c r="AA65" i="3"/>
  <c r="C66" i="3"/>
  <c r="D65" i="3"/>
  <c r="AH65" i="3"/>
  <c r="Z67" i="3" l="1"/>
  <c r="AA66" i="3"/>
  <c r="C67" i="3"/>
  <c r="D66" i="3"/>
  <c r="AH66" i="3"/>
  <c r="Z68" i="3" l="1"/>
  <c r="AA67" i="3"/>
  <c r="C68" i="3"/>
  <c r="D67" i="3"/>
  <c r="AH67" i="3"/>
  <c r="Z69" i="3" l="1"/>
  <c r="AA68" i="3"/>
  <c r="C69" i="3"/>
  <c r="D68" i="3"/>
  <c r="AH68" i="3"/>
  <c r="Z70" i="3" l="1"/>
  <c r="AA69" i="3"/>
  <c r="C70" i="3"/>
  <c r="D69" i="3"/>
  <c r="AH69" i="3"/>
  <c r="Z71" i="3" l="1"/>
  <c r="AA70" i="3"/>
  <c r="C71" i="3"/>
  <c r="D70" i="3"/>
  <c r="AH70" i="3"/>
  <c r="Z72" i="3" l="1"/>
  <c r="AA71" i="3"/>
  <c r="C72" i="3"/>
  <c r="D71" i="3"/>
  <c r="AH71" i="3"/>
  <c r="Z73" i="3" l="1"/>
  <c r="AA72" i="3"/>
  <c r="C73" i="3"/>
  <c r="D72" i="3"/>
  <c r="AH72" i="3"/>
  <c r="Z74" i="3" l="1"/>
  <c r="AA73" i="3"/>
  <c r="C74" i="3"/>
  <c r="D73" i="3"/>
  <c r="AH73" i="3"/>
  <c r="Z75" i="3" l="1"/>
  <c r="AA74" i="3"/>
  <c r="C75" i="3"/>
  <c r="D74" i="3"/>
  <c r="AH74" i="3"/>
  <c r="Z76" i="3" l="1"/>
  <c r="AA75" i="3"/>
  <c r="C76" i="3"/>
  <c r="D75" i="3"/>
  <c r="AH75" i="3"/>
  <c r="Z77" i="3" l="1"/>
  <c r="AA76" i="3"/>
  <c r="C77" i="3"/>
  <c r="D76" i="3"/>
  <c r="AH76" i="3"/>
  <c r="Z78" i="3" l="1"/>
  <c r="AA77" i="3"/>
  <c r="C78" i="3"/>
  <c r="D77" i="3"/>
  <c r="AH77" i="3"/>
  <c r="Z79" i="3" l="1"/>
  <c r="AA78" i="3"/>
  <c r="C79" i="3"/>
  <c r="D78" i="3"/>
  <c r="AH78" i="3"/>
  <c r="Z80" i="3" l="1"/>
  <c r="AA79" i="3"/>
  <c r="C80" i="3"/>
  <c r="D79" i="3"/>
  <c r="AH79" i="3"/>
  <c r="Z81" i="3" l="1"/>
  <c r="AA80" i="3"/>
  <c r="C81" i="3"/>
  <c r="D80" i="3"/>
  <c r="AH80" i="3"/>
  <c r="Z82" i="3" l="1"/>
  <c r="AA81" i="3"/>
  <c r="C82" i="3"/>
  <c r="D81" i="3"/>
  <c r="AH81" i="3"/>
  <c r="Z83" i="3" l="1"/>
  <c r="AA82" i="3"/>
  <c r="C83" i="3"/>
  <c r="D82" i="3"/>
  <c r="AH82" i="3"/>
  <c r="Z84" i="3" l="1"/>
  <c r="AA83" i="3"/>
  <c r="C84" i="3"/>
  <c r="D83" i="3"/>
  <c r="AH83" i="3"/>
  <c r="Z85" i="3" l="1"/>
  <c r="AA84" i="3"/>
  <c r="AH84" i="3" s="1"/>
  <c r="C85" i="3"/>
  <c r="D84" i="3"/>
  <c r="Z86" i="3" l="1"/>
  <c r="AA85" i="3"/>
  <c r="C86" i="3"/>
  <c r="D85" i="3"/>
  <c r="AH85" i="3"/>
  <c r="Z87" i="3" l="1"/>
  <c r="AA86" i="3"/>
  <c r="C87" i="3"/>
  <c r="D86" i="3"/>
  <c r="AH86" i="3"/>
  <c r="Z88" i="3" l="1"/>
  <c r="AA87" i="3"/>
  <c r="C88" i="3"/>
  <c r="D87" i="3"/>
  <c r="AH87" i="3"/>
  <c r="Z89" i="3" l="1"/>
  <c r="AA88" i="3"/>
  <c r="C89" i="3"/>
  <c r="D88" i="3"/>
  <c r="AH88" i="3"/>
  <c r="Z90" i="3" l="1"/>
  <c r="AA89" i="3"/>
  <c r="C90" i="3"/>
  <c r="D89" i="3"/>
  <c r="AH89" i="3"/>
  <c r="Z91" i="3" l="1"/>
  <c r="AA90" i="3"/>
  <c r="C91" i="3"/>
  <c r="D90" i="3"/>
  <c r="AH90" i="3"/>
  <c r="Z92" i="3" l="1"/>
  <c r="AA91" i="3"/>
  <c r="C92" i="3"/>
  <c r="D91" i="3"/>
  <c r="AH91" i="3"/>
  <c r="Z93" i="3" l="1"/>
  <c r="AA93" i="3" s="1"/>
  <c r="AA92" i="3"/>
  <c r="C93" i="3"/>
  <c r="D93" i="3" s="1"/>
  <c r="D92" i="3"/>
  <c r="AH92" i="3"/>
  <c r="AH9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FV calculation of other instruments should be ammended on CVA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tc={954DCA82-1B59-476B-A87C-ABCFEBCC2A41}</author>
    <author>Author</author>
  </authors>
  <commentList>
    <comment ref="M37" authorId="0" shapeId="0" xr:uid="{954DCA82-1B59-476B-A87C-ABCFEBCC2A41}">
      <text>
        <t>[Threaded comment]
Your version of Excel allows you to read this threaded comment; however, any edits to it will get removed if the file is opened in a newer version of Excel. Learn more: https://go.microsoft.com/fwlink/?linkid=870924
Comment:
    2 transformations:
- aligning periods
- transferring into continuous compounding</t>
      </text>
    </comment>
    <comment ref="C39" authorId="1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assumption that libor 3m at 5/1/2022 would be the same as last known libor 3m</t>
        </r>
      </text>
    </comment>
  </commentList>
</comments>
</file>

<file path=xl/sharedStrings.xml><?xml version="1.0" encoding="utf-8"?>
<sst xmlns="http://schemas.openxmlformats.org/spreadsheetml/2006/main" count="438" uniqueCount="254">
  <si>
    <t>PV</t>
  </si>
  <si>
    <t>r</t>
  </si>
  <si>
    <t>m</t>
  </si>
  <si>
    <t>accruals per year</t>
  </si>
  <si>
    <t>Period (n)</t>
  </si>
  <si>
    <t>Simple</t>
  </si>
  <si>
    <t>Compounded</t>
  </si>
  <si>
    <t>Continuously compounded</t>
  </si>
  <si>
    <t>FV 1 year</t>
  </si>
  <si>
    <t>FV 2 year</t>
  </si>
  <si>
    <t>Bank buys put option</t>
  </si>
  <si>
    <t>Bank sells put option</t>
  </si>
  <si>
    <t>Bank buys call option</t>
  </si>
  <si>
    <t>Bank sells call option</t>
  </si>
  <si>
    <t>Option strategy constructor</t>
  </si>
  <si>
    <t>Type: european</t>
  </si>
  <si>
    <t>Start date</t>
  </si>
  <si>
    <t>Current date</t>
  </si>
  <si>
    <t>Expiration date</t>
  </si>
  <si>
    <t>Strike price</t>
  </si>
  <si>
    <t>Option premium</t>
  </si>
  <si>
    <t>Notional ammount</t>
  </si>
  <si>
    <t>share price</t>
  </si>
  <si>
    <t>PL at settlement "Bank buys put option"</t>
  </si>
  <si>
    <t>PL at settlement "Bank sells put option"</t>
  </si>
  <si>
    <t>PL at settlement "Bank buys call option"</t>
  </si>
  <si>
    <t>PL at settlement "Bank sells call option"</t>
  </si>
  <si>
    <t>PL at settlement combined option</t>
  </si>
  <si>
    <t>data</t>
  </si>
  <si>
    <t>Bank buys USD in exchange for rubles</t>
  </si>
  <si>
    <t>$</t>
  </si>
  <si>
    <t>CVA</t>
  </si>
  <si>
    <t>curs</t>
  </si>
  <si>
    <t>Black-Scholes and Greeks Calculator</t>
  </si>
  <si>
    <t>Intermediate Calculations</t>
  </si>
  <si>
    <t>Parameters</t>
  </si>
  <si>
    <t>Call</t>
  </si>
  <si>
    <t>Put</t>
  </si>
  <si>
    <t>d1</t>
  </si>
  <si>
    <t>d2</t>
  </si>
  <si>
    <t>nd1</t>
  </si>
  <si>
    <t>nd2</t>
  </si>
  <si>
    <t>n_dash_d1</t>
  </si>
  <si>
    <t>Spot Price</t>
  </si>
  <si>
    <t>Value</t>
  </si>
  <si>
    <t>Strike Price</t>
  </si>
  <si>
    <t>Delta</t>
  </si>
  <si>
    <t>Risk-Free Rate</t>
  </si>
  <si>
    <t>Gamma</t>
  </si>
  <si>
    <t>Volatility</t>
  </si>
  <si>
    <t>Vega</t>
  </si>
  <si>
    <t>Dividend Yield</t>
  </si>
  <si>
    <t>Theta</t>
  </si>
  <si>
    <t>Expiry Time</t>
  </si>
  <si>
    <t>Fixed rate</t>
  </si>
  <si>
    <t>Price per contract</t>
  </si>
  <si>
    <t>Floating rate</t>
  </si>
  <si>
    <t>Date</t>
  </si>
  <si>
    <t>Week day</t>
  </si>
  <si>
    <t>ON</t>
  </si>
  <si>
    <t>1W</t>
  </si>
  <si>
    <t>1M</t>
  </si>
  <si>
    <t>2M</t>
  </si>
  <si>
    <t>3M</t>
  </si>
  <si>
    <t>6M</t>
  </si>
  <si>
    <t>12M</t>
  </si>
  <si>
    <t>02.09.2022</t>
  </si>
  <si>
    <t>Fri</t>
  </si>
  <si>
    <t>01.09.2022</t>
  </si>
  <si>
    <t>Thu</t>
  </si>
  <si>
    <t>31.08.2022</t>
  </si>
  <si>
    <t>Wed</t>
  </si>
  <si>
    <t>30.08.2022</t>
  </si>
  <si>
    <t>Tue</t>
  </si>
  <si>
    <t>26.08.2022</t>
  </si>
  <si>
    <t>25.08.2022</t>
  </si>
  <si>
    <t>24.08.2022</t>
  </si>
  <si>
    <t>23.08.2022</t>
  </si>
  <si>
    <t>22.08.2022</t>
  </si>
  <si>
    <t>Mon</t>
  </si>
  <si>
    <t>19.08.2022</t>
  </si>
  <si>
    <t>18.08.2022</t>
  </si>
  <si>
    <t>17.08.2022</t>
  </si>
  <si>
    <t>16.08.2022</t>
  </si>
  <si>
    <t>15.08.2022</t>
  </si>
  <si>
    <t>12.08.2022</t>
  </si>
  <si>
    <t>11.08.2022</t>
  </si>
  <si>
    <t>10.08.2022</t>
  </si>
  <si>
    <t>09.08.2022</t>
  </si>
  <si>
    <t>08.08.2022</t>
  </si>
  <si>
    <t>05.08.2022</t>
  </si>
  <si>
    <t>04.08.2022</t>
  </si>
  <si>
    <t>03.08.2022</t>
  </si>
  <si>
    <t>02.08.2022</t>
  </si>
  <si>
    <t>01.08.2022</t>
  </si>
  <si>
    <t>29.07.2022</t>
  </si>
  <si>
    <t>28.07.2022</t>
  </si>
  <si>
    <t>27.07.2022</t>
  </si>
  <si>
    <t>26.07.2022</t>
  </si>
  <si>
    <t>25.07.2022</t>
  </si>
  <si>
    <t>22.07.2022</t>
  </si>
  <si>
    <t>21.07.2022</t>
  </si>
  <si>
    <t>20.07.2022</t>
  </si>
  <si>
    <t>19.07.2022</t>
  </si>
  <si>
    <t>18.07.2022</t>
  </si>
  <si>
    <t>15.07.2022</t>
  </si>
  <si>
    <t>14.07.2022</t>
  </si>
  <si>
    <t>13.07.2022</t>
  </si>
  <si>
    <t>12.07.2022</t>
  </si>
  <si>
    <t>11.07.2022</t>
  </si>
  <si>
    <t>08.07.2022</t>
  </si>
  <si>
    <t>07.07.2022</t>
  </si>
  <si>
    <t>06.07.2022</t>
  </si>
  <si>
    <t>05.07.2022</t>
  </si>
  <si>
    <t>04.07.2022</t>
  </si>
  <si>
    <t>01.07.2022</t>
  </si>
  <si>
    <t>30.06.2022</t>
  </si>
  <si>
    <t>29.06.2022</t>
  </si>
  <si>
    <t>28.06.2022</t>
  </si>
  <si>
    <t>27.06.2022</t>
  </si>
  <si>
    <t>24.06.2022</t>
  </si>
  <si>
    <t>23.06.2022</t>
  </si>
  <si>
    <t>22.06.2022</t>
  </si>
  <si>
    <t>21.06.2022</t>
  </si>
  <si>
    <t>20.06.2022</t>
  </si>
  <si>
    <t>17.06.2022</t>
  </si>
  <si>
    <t>16.06.2022</t>
  </si>
  <si>
    <t>15.06.2022</t>
  </si>
  <si>
    <t>14.06.2022</t>
  </si>
  <si>
    <t>13.06.2022</t>
  </si>
  <si>
    <t>10.06.2022</t>
  </si>
  <si>
    <t>09.06.2022</t>
  </si>
  <si>
    <t>08.06.2022</t>
  </si>
  <si>
    <t>07.06.2022</t>
  </si>
  <si>
    <t>06.06.2022</t>
  </si>
  <si>
    <t>01.06.2022</t>
  </si>
  <si>
    <t>31.05.2022</t>
  </si>
  <si>
    <t>30.05.2022</t>
  </si>
  <si>
    <t>27.05.2022</t>
  </si>
  <si>
    <t>26.05.2022</t>
  </si>
  <si>
    <t>25.05.2022</t>
  </si>
  <si>
    <t>24.05.2022</t>
  </si>
  <si>
    <t>23.05.2022</t>
  </si>
  <si>
    <t>20.05.2022</t>
  </si>
  <si>
    <t>19.05.2022</t>
  </si>
  <si>
    <t>18.05.2022</t>
  </si>
  <si>
    <t>17.05.2022</t>
  </si>
  <si>
    <t>16.05.2022</t>
  </si>
  <si>
    <t>13.05.2022</t>
  </si>
  <si>
    <t>12.05.2022</t>
  </si>
  <si>
    <t>11.05.2022</t>
  </si>
  <si>
    <t>10.05.2022</t>
  </si>
  <si>
    <t>09.05.2022</t>
  </si>
  <si>
    <t>06.05.2022</t>
  </si>
  <si>
    <t>05.05.2022</t>
  </si>
  <si>
    <t>04.05.2022</t>
  </si>
  <si>
    <t>03.05.2022</t>
  </si>
  <si>
    <t>29.04.2022</t>
  </si>
  <si>
    <t>28.04.2022</t>
  </si>
  <si>
    <t>27.04.2022</t>
  </si>
  <si>
    <t>26.04.2022</t>
  </si>
  <si>
    <t>25.04.2022</t>
  </si>
  <si>
    <t>22.04.2022</t>
  </si>
  <si>
    <t>21.04.2022</t>
  </si>
  <si>
    <t>20.04.2022</t>
  </si>
  <si>
    <t>19.04.2022</t>
  </si>
  <si>
    <t>14.04.2022</t>
  </si>
  <si>
    <t>13.04.2022</t>
  </si>
  <si>
    <t>12.04.2022</t>
  </si>
  <si>
    <t>11.04.2022</t>
  </si>
  <si>
    <t>08.04.2022</t>
  </si>
  <si>
    <t>Floating FX</t>
  </si>
  <si>
    <t>Fixed FX</t>
  </si>
  <si>
    <t>Bank buys interest rate swap pay fixed received floating</t>
  </si>
  <si>
    <t>Date of deal</t>
  </si>
  <si>
    <t>Net cash flows = PL of instrument</t>
  </si>
  <si>
    <t>FV calc</t>
  </si>
  <si>
    <t>FV of the instrument</t>
  </si>
  <si>
    <t>upload</t>
  </si>
  <si>
    <t>2m</t>
  </si>
  <si>
    <t>4m</t>
  </si>
  <si>
    <t>5m</t>
  </si>
  <si>
    <t>Libor 1m</t>
  </si>
  <si>
    <t>1m</t>
  </si>
  <si>
    <t>3m</t>
  </si>
  <si>
    <t>6m</t>
  </si>
  <si>
    <t>Calculated</t>
  </si>
  <si>
    <t>DF</t>
  </si>
  <si>
    <t>Time (years)</t>
  </si>
  <si>
    <t>Libor spot rate curve or zero rate curve</t>
  </si>
  <si>
    <t>Implied forward rates</t>
  </si>
  <si>
    <t xml:space="preserve"> =&gt;</t>
  </si>
  <si>
    <t>non arbitrage idea tells us that we expect the same cumulative return that if we invest in longer term instrument</t>
  </si>
  <si>
    <t>Forward rates (transformed into simple compounding)</t>
  </si>
  <si>
    <t>Compound rate to simple rate</t>
  </si>
  <si>
    <t>simple rate</t>
  </si>
  <si>
    <t>Continious</t>
  </si>
  <si>
    <t>Projected CF</t>
  </si>
  <si>
    <t>FV = discounted projected cash flow</t>
  </si>
  <si>
    <t>Back test (error %)</t>
  </si>
  <si>
    <t>Factial libor 1m</t>
  </si>
  <si>
    <t>step 1</t>
  </si>
  <si>
    <t>step 2</t>
  </si>
  <si>
    <t>step 3</t>
  </si>
  <si>
    <t>step 4</t>
  </si>
  <si>
    <t>step 5</t>
  </si>
  <si>
    <t>FV instrument</t>
  </si>
  <si>
    <t>FV revaluation = PL for each period</t>
  </si>
  <si>
    <t>check</t>
  </si>
  <si>
    <t>Factual PL calc</t>
  </si>
  <si>
    <t>Date 2</t>
  </si>
  <si>
    <t>Date 1</t>
  </si>
  <si>
    <t>PL after expiration</t>
  </si>
  <si>
    <t>Forecast of inflow</t>
  </si>
  <si>
    <t>Forecast of outflow</t>
  </si>
  <si>
    <t>We bye share for hedging</t>
  </si>
  <si>
    <t>Profit</t>
  </si>
  <si>
    <t>years</t>
  </si>
  <si>
    <t>Stock</t>
  </si>
  <si>
    <t>Delta of share always 1</t>
  </si>
  <si>
    <t>Сurrent price of underlying asset (S)</t>
  </si>
  <si>
    <t>Strike price (X)</t>
  </si>
  <si>
    <t>Term (T)</t>
  </si>
  <si>
    <t>FV (expected CF)</t>
  </si>
  <si>
    <t>Risk free interest rate (r)</t>
  </si>
  <si>
    <t>Call price (C)</t>
  </si>
  <si>
    <t>Volatility stress test</t>
  </si>
  <si>
    <t>X for ST</t>
  </si>
  <si>
    <t>S for ST</t>
  </si>
  <si>
    <t>share price at the settlement date</t>
  </si>
  <si>
    <t>Current strategy is =&gt; 3. SYNTHETIC LONG STOCK</t>
  </si>
  <si>
    <t>http://iborate.com/usd-libor/</t>
  </si>
  <si>
    <t>29.10.2021</t>
  </si>
  <si>
    <t>28.10.2021</t>
  </si>
  <si>
    <t>27.10.2021</t>
  </si>
  <si>
    <t>26.10.2021</t>
  </si>
  <si>
    <t>25.10.2021</t>
  </si>
  <si>
    <t>22.10.2021</t>
  </si>
  <si>
    <t>21.10.2021</t>
  </si>
  <si>
    <t>20.10.2021</t>
  </si>
  <si>
    <t>19.10.2021</t>
  </si>
  <si>
    <t>18.10.2021</t>
  </si>
  <si>
    <t>https://www.youtube.com/watch?v=tFWoVTHc3AM</t>
  </si>
  <si>
    <r>
      <t xml:space="preserve">Revaluation </t>
    </r>
    <r>
      <rPr>
        <sz val="8"/>
        <color theme="1"/>
        <rFont val="Arial"/>
        <family val="2"/>
      </rPr>
      <t>= expectations on future CF above initial investment =&gt; PL before expiration</t>
    </r>
  </si>
  <si>
    <r>
      <t xml:space="preserve">Trading result </t>
    </r>
    <r>
      <rPr>
        <sz val="8"/>
        <color theme="1"/>
        <rFont val="Arial"/>
        <family val="2"/>
      </rPr>
      <t>= Factual CF on instrument =&gt; Final PL after expiration or sell</t>
    </r>
  </si>
  <si>
    <r>
      <t xml:space="preserve">FV of instrument </t>
    </r>
    <r>
      <rPr>
        <sz val="8"/>
        <color theme="1"/>
        <rFont val="Arial"/>
        <family val="2"/>
      </rPr>
      <t>= Balance amount</t>
    </r>
  </si>
  <si>
    <t>Short position</t>
  </si>
  <si>
    <t>Long call option</t>
  </si>
  <si>
    <t>step 6</t>
  </si>
  <si>
    <t>step 7</t>
  </si>
  <si>
    <t>step 8</t>
  </si>
  <si>
    <t>pay</t>
  </si>
  <si>
    <t>receive</t>
  </si>
  <si>
    <t>correct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</si>
</sst>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_(* #,##0.00_);_(* \(#,##0.00\);_(* &quot;-&quot;??_);_(@_)"/>
    <numFmt numFmtId="166" formatCode="_(* #,##0.000_);_(* \(#,##0.000\);_(* &quot;-&quot;??_);_(@_)"/>
    <numFmt numFmtId="167" formatCode="_(* #,##0.0000000_);_(* \(#,##0.0000000\);_(* &quot;-&quot;??_);_(@_)"/>
    <numFmt numFmtId="168" formatCode="#,##0.0000"/>
    <numFmt numFmtId="169" formatCode="#,##0.0"/>
    <numFmt numFmtId="170" formatCode="_(* #,##0_);_(* \(#,##0\);_(* &quot;-&quot;??_);_(@_)"/>
    <numFmt numFmtId="171" formatCode="0.0%"/>
    <numFmt numFmtId="172" formatCode="_(* #,##0.0000_);_(* \(#,##0.0000\);_(* &quot;-&quot;??_);_(@_)"/>
    <numFmt numFmtId="173" formatCode="0.000%"/>
    <numFmt numFmtId="174" formatCode="_(* #,##0.00000000_);_(* \(#,##0.000000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36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8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2"/>
      <color theme="1"/>
      <name val="Times New Roman"/>
      <family val="2"/>
      <charset val="204"/>
    </font>
    <font>
      <sz val="11"/>
      <name val="Calibri"/>
      <family val="2"/>
    </font>
    <font>
      <b/>
      <sz val="8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10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</cellStyleXfs>
  <cellXfs count="144">
    <xf numFmtId="0" fontId="0" fillId="0" borderId="0" xfId="0"/>
    <xf numFmtId="0" fontId="2" fillId="0" borderId="0" xfId="0" applyFont="1"/>
    <xf numFmtId="165" fontId="2" fillId="0" borderId="0" xfId="1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14" fontId="3" fillId="0" borderId="0" xfId="0" applyNumberFormat="1" applyFont="1"/>
    <xf numFmtId="14" fontId="2" fillId="0" borderId="0" xfId="0" applyNumberFormat="1" applyFont="1"/>
    <xf numFmtId="166" fontId="2" fillId="0" borderId="0" xfId="1" applyNumberFormat="1" applyFont="1"/>
    <xf numFmtId="167" fontId="2" fillId="0" borderId="0" xfId="1" applyNumberFormat="1" applyFont="1"/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8" fontId="2" fillId="0" borderId="0" xfId="0" applyNumberFormat="1" applyFont="1"/>
    <xf numFmtId="169" fontId="2" fillId="0" borderId="0" xfId="0" applyNumberFormat="1" applyFont="1"/>
    <xf numFmtId="165" fontId="2" fillId="0" borderId="0" xfId="1" applyNumberFormat="1" applyFont="1"/>
    <xf numFmtId="170" fontId="2" fillId="0" borderId="0" xfId="1" applyNumberFormat="1" applyFont="1"/>
    <xf numFmtId="170" fontId="2" fillId="0" borderId="0" xfId="1" applyNumberFormat="1" applyFont="1" applyAlignment="1">
      <alignment horizontal="center" vertical="center" wrapText="1"/>
    </xf>
    <xf numFmtId="170" fontId="3" fillId="0" borderId="0" xfId="1" applyNumberFormat="1" applyFont="1"/>
    <xf numFmtId="171" fontId="2" fillId="0" borderId="0" xfId="2" applyNumberFormat="1" applyFont="1"/>
    <xf numFmtId="0" fontId="5" fillId="0" borderId="0" xfId="3" applyFont="1" applyBorder="1"/>
    <xf numFmtId="0" fontId="4" fillId="0" borderId="0" xfId="3" applyBorder="1"/>
    <xf numFmtId="0" fontId="4" fillId="0" borderId="0" xfId="3"/>
    <xf numFmtId="0" fontId="6" fillId="0" borderId="0" xfId="4" applyBorder="1" applyAlignment="1" applyProtection="1"/>
    <xf numFmtId="0" fontId="7" fillId="0" borderId="0" xfId="3" applyFont="1" applyBorder="1"/>
    <xf numFmtId="0" fontId="8" fillId="0" borderId="0" xfId="4" applyFont="1" applyBorder="1" applyAlignment="1" applyProtection="1"/>
    <xf numFmtId="0" fontId="9" fillId="0" borderId="2" xfId="3" applyFont="1" applyBorder="1"/>
    <xf numFmtId="0" fontId="4" fillId="0" borderId="3" xfId="3" applyBorder="1"/>
    <xf numFmtId="0" fontId="4" fillId="0" borderId="2" xfId="3" applyBorder="1"/>
    <xf numFmtId="0" fontId="9" fillId="0" borderId="4" xfId="3" applyFont="1" applyBorder="1"/>
    <xf numFmtId="0" fontId="9" fillId="0" borderId="3" xfId="3" applyFont="1" applyBorder="1"/>
    <xf numFmtId="0" fontId="8" fillId="0" borderId="2" xfId="3" applyFont="1" applyBorder="1" applyAlignment="1">
      <alignment horizontal="center"/>
    </xf>
    <xf numFmtId="0" fontId="8" fillId="0" borderId="4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8" fillId="0" borderId="5" xfId="3" applyFont="1" applyBorder="1"/>
    <xf numFmtId="0" fontId="4" fillId="0" borderId="6" xfId="3" applyBorder="1"/>
    <xf numFmtId="0" fontId="9" fillId="0" borderId="5" xfId="3" applyFont="1" applyBorder="1"/>
    <xf numFmtId="0" fontId="4" fillId="0" borderId="7" xfId="3" applyBorder="1" applyAlignment="1">
      <alignment horizontal="center"/>
    </xf>
    <xf numFmtId="0" fontId="4" fillId="0" borderId="8" xfId="3" applyBorder="1" applyAlignment="1">
      <alignment horizontal="center"/>
    </xf>
    <xf numFmtId="0" fontId="4" fillId="0" borderId="9" xfId="3" applyBorder="1" applyAlignment="1">
      <alignment horizontal="center"/>
    </xf>
    <xf numFmtId="0" fontId="8" fillId="0" borderId="6" xfId="3" applyFont="1" applyBorder="1" applyAlignment="1">
      <alignment horizontal="right" vertical="top"/>
    </xf>
    <xf numFmtId="0" fontId="9" fillId="0" borderId="7" xfId="3" applyFont="1" applyBorder="1"/>
    <xf numFmtId="0" fontId="4" fillId="0" borderId="8" xfId="3" applyBorder="1"/>
    <xf numFmtId="0" fontId="4" fillId="0" borderId="9" xfId="3" applyBorder="1"/>
    <xf numFmtId="0" fontId="8" fillId="0" borderId="7" xfId="3" applyFont="1" applyBorder="1"/>
    <xf numFmtId="0" fontId="8" fillId="0" borderId="0" xfId="3" applyFont="1"/>
    <xf numFmtId="0" fontId="9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top"/>
    </xf>
    <xf numFmtId="0" fontId="9" fillId="0" borderId="0" xfId="3" applyFont="1"/>
    <xf numFmtId="164" fontId="0" fillId="0" borderId="0" xfId="5" applyNumberFormat="1" applyFont="1"/>
    <xf numFmtId="2" fontId="4" fillId="0" borderId="0" xfId="3" applyNumberFormat="1"/>
    <xf numFmtId="164" fontId="0" fillId="0" borderId="0" xfId="5" applyFont="1"/>
    <xf numFmtId="164" fontId="9" fillId="0" borderId="0" xfId="3" applyNumberFormat="1" applyFont="1"/>
    <xf numFmtId="164" fontId="4" fillId="0" borderId="0" xfId="3" applyNumberFormat="1"/>
    <xf numFmtId="0" fontId="11" fillId="0" borderId="0" xfId="6" applyFont="1" applyFill="1" applyBorder="1"/>
    <xf numFmtId="0" fontId="10" fillId="0" borderId="0" xfId="6" applyFont="1" applyFill="1" applyBorder="1"/>
    <xf numFmtId="14" fontId="10" fillId="0" borderId="0" xfId="6" applyNumberFormat="1" applyFont="1" applyFill="1" applyBorder="1"/>
    <xf numFmtId="172" fontId="2" fillId="0" borderId="0" xfId="1" applyNumberFormat="1" applyFont="1"/>
    <xf numFmtId="165" fontId="3" fillId="0" borderId="0" xfId="1" applyFont="1"/>
    <xf numFmtId="165" fontId="2" fillId="0" borderId="0" xfId="0" applyNumberFormat="1" applyFont="1"/>
    <xf numFmtId="165" fontId="3" fillId="0" borderId="0" xfId="0" applyNumberFormat="1" applyFont="1"/>
    <xf numFmtId="0" fontId="12" fillId="0" borderId="0" xfId="0" applyFont="1"/>
    <xf numFmtId="165" fontId="12" fillId="0" borderId="0" xfId="0" applyNumberFormat="1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0" fillId="2" borderId="0" xfId="6" applyFont="1" applyFill="1" applyBorder="1"/>
    <xf numFmtId="14" fontId="10" fillId="2" borderId="0" xfId="6" applyNumberFormat="1" applyFont="1" applyFill="1" applyBorder="1"/>
    <xf numFmtId="0" fontId="10" fillId="0" borderId="0" xfId="6" applyFont="1" applyFill="1" applyBorder="1" applyAlignment="1"/>
    <xf numFmtId="0" fontId="2" fillId="0" borderId="0" xfId="0" applyFont="1" applyAlignment="1">
      <alignment horizontal="center" vertical="center" wrapText="1"/>
    </xf>
    <xf numFmtId="10" fontId="2" fillId="0" borderId="0" xfId="2" applyNumberFormat="1" applyFont="1"/>
    <xf numFmtId="173" fontId="2" fillId="0" borderId="0" xfId="2" applyNumberFormat="1" applyFont="1"/>
    <xf numFmtId="174" fontId="2" fillId="0" borderId="0" xfId="1" applyNumberFormat="1" applyFont="1"/>
    <xf numFmtId="165" fontId="12" fillId="0" borderId="0" xfId="1" applyFont="1"/>
    <xf numFmtId="0" fontId="3" fillId="3" borderId="0" xfId="0" applyFont="1" applyFill="1"/>
    <xf numFmtId="170" fontId="3" fillId="3" borderId="0" xfId="1" applyNumberFormat="1" applyFont="1" applyFill="1"/>
    <xf numFmtId="0" fontId="2" fillId="3" borderId="0" xfId="0" applyFont="1" applyFill="1"/>
    <xf numFmtId="165" fontId="15" fillId="0" borderId="0" xfId="1" applyNumberFormat="1" applyFont="1"/>
    <xf numFmtId="165" fontId="15" fillId="0" borderId="0" xfId="0" applyNumberFormat="1" applyFont="1"/>
    <xf numFmtId="0" fontId="15" fillId="0" borderId="0" xfId="0" applyFont="1"/>
    <xf numFmtId="14" fontId="15" fillId="0" borderId="0" xfId="0" applyNumberFormat="1" applyFont="1"/>
    <xf numFmtId="171" fontId="15" fillId="0" borderId="0" xfId="2" applyNumberFormat="1" applyFont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6" fontId="15" fillId="0" borderId="0" xfId="1" applyNumberFormat="1" applyFont="1"/>
    <xf numFmtId="168" fontId="15" fillId="0" borderId="0" xfId="0" applyNumberFormat="1" applyFont="1"/>
    <xf numFmtId="0" fontId="16" fillId="0" borderId="0" xfId="0" applyFont="1" applyAlignment="1">
      <alignment vertical="center" wrapText="1"/>
    </xf>
    <xf numFmtId="0" fontId="16" fillId="0" borderId="0" xfId="7" applyFont="1" applyAlignment="1">
      <alignment horizontal="center" vertical="center" wrapText="1"/>
    </xf>
    <xf numFmtId="0" fontId="15" fillId="0" borderId="0" xfId="7" applyFont="1"/>
    <xf numFmtId="166" fontId="16" fillId="0" borderId="0" xfId="8" applyNumberFormat="1" applyFont="1" applyAlignment="1">
      <alignment horizontal="center" vertical="center" wrapText="1"/>
    </xf>
    <xf numFmtId="172" fontId="16" fillId="0" borderId="0" xfId="7" applyNumberFormat="1" applyFont="1" applyAlignment="1">
      <alignment horizontal="center" vertical="center" wrapText="1"/>
    </xf>
    <xf numFmtId="166" fontId="15" fillId="0" borderId="0" xfId="8" applyNumberFormat="1" applyFont="1"/>
    <xf numFmtId="172" fontId="15" fillId="0" borderId="0" xfId="8" applyNumberFormat="1" applyFont="1"/>
    <xf numFmtId="172" fontId="15" fillId="0" borderId="0" xfId="7" applyNumberFormat="1" applyFont="1"/>
    <xf numFmtId="9" fontId="15" fillId="0" borderId="0" xfId="9" applyFont="1"/>
    <xf numFmtId="10" fontId="15" fillId="0" borderId="0" xfId="9" applyNumberFormat="1" applyFont="1"/>
    <xf numFmtId="171" fontId="15" fillId="0" borderId="0" xfId="9" applyNumberFormat="1" applyFont="1"/>
    <xf numFmtId="0" fontId="16" fillId="0" borderId="0" xfId="7" applyFont="1"/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65" fontId="15" fillId="0" borderId="1" xfId="1" applyNumberFormat="1" applyFont="1" applyBorder="1"/>
    <xf numFmtId="165" fontId="15" fillId="0" borderId="12" xfId="1" applyNumberFormat="1" applyFont="1" applyBorder="1"/>
    <xf numFmtId="165" fontId="15" fillId="0" borderId="12" xfId="0" applyNumberFormat="1" applyFont="1" applyBorder="1"/>
    <xf numFmtId="0" fontId="17" fillId="0" borderId="13" xfId="0" applyFont="1" applyBorder="1"/>
    <xf numFmtId="165" fontId="17" fillId="0" borderId="14" xfId="0" applyNumberFormat="1" applyFont="1" applyBorder="1"/>
    <xf numFmtId="0" fontId="3" fillId="0" borderId="0" xfId="0" applyFont="1" applyBorder="1" applyAlignment="1"/>
    <xf numFmtId="0" fontId="19" fillId="0" borderId="0" xfId="10" applyFont="1" applyFill="1" applyBorder="1"/>
    <xf numFmtId="0" fontId="6" fillId="0" borderId="0" xfId="4" applyAlignment="1" applyProtection="1"/>
    <xf numFmtId="0" fontId="2" fillId="0" borderId="15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12" xfId="0" applyFont="1" applyBorder="1"/>
    <xf numFmtId="166" fontId="2" fillId="0" borderId="1" xfId="1" applyNumberFormat="1" applyFont="1" applyBorder="1"/>
    <xf numFmtId="10" fontId="2" fillId="0" borderId="0" xfId="2" applyNumberFormat="1" applyFont="1" applyBorder="1"/>
    <xf numFmtId="10" fontId="2" fillId="0" borderId="0" xfId="0" applyNumberFormat="1" applyFont="1" applyBorder="1"/>
    <xf numFmtId="0" fontId="2" fillId="0" borderId="13" xfId="0" applyFont="1" applyBorder="1"/>
    <xf numFmtId="0" fontId="2" fillId="0" borderId="16" xfId="0" applyFont="1" applyBorder="1"/>
    <xf numFmtId="0" fontId="2" fillId="0" borderId="14" xfId="0" applyFont="1" applyBorder="1"/>
    <xf numFmtId="0" fontId="16" fillId="0" borderId="0" xfId="0" applyFont="1"/>
    <xf numFmtId="0" fontId="16" fillId="0" borderId="10" xfId="0" applyFont="1" applyBorder="1"/>
    <xf numFmtId="0" fontId="16" fillId="4" borderId="0" xfId="7" applyFont="1" applyFill="1" applyAlignment="1">
      <alignment horizontal="center" vertical="center" wrapText="1"/>
    </xf>
    <xf numFmtId="166" fontId="15" fillId="4" borderId="0" xfId="8" applyNumberFormat="1" applyFont="1" applyFill="1"/>
    <xf numFmtId="0" fontId="20" fillId="0" borderId="0" xfId="0" applyFont="1"/>
    <xf numFmtId="14" fontId="20" fillId="0" borderId="0" xfId="0" applyNumberFormat="1" applyFont="1"/>
    <xf numFmtId="165" fontId="20" fillId="0" borderId="0" xfId="1" applyNumberFormat="1" applyFont="1"/>
    <xf numFmtId="166" fontId="20" fillId="0" borderId="0" xfId="1" applyNumberFormat="1" applyFont="1"/>
    <xf numFmtId="165" fontId="20" fillId="0" borderId="12" xfId="0" applyNumberFormat="1" applyFont="1" applyBorder="1"/>
    <xf numFmtId="168" fontId="20" fillId="0" borderId="0" xfId="0" applyNumberFormat="1" applyFont="1"/>
    <xf numFmtId="0" fontId="20" fillId="0" borderId="0" xfId="7" applyFont="1"/>
    <xf numFmtId="0" fontId="20" fillId="0" borderId="0" xfId="7" applyFont="1" applyAlignment="1">
      <alignment horizontal="center" vertical="center" wrapText="1"/>
    </xf>
    <xf numFmtId="9" fontId="20" fillId="0" borderId="0" xfId="7" applyNumberFormat="1" applyFont="1"/>
    <xf numFmtId="165" fontId="2" fillId="0" borderId="0" xfId="1" applyNumberFormat="1" applyFont="1" applyBorder="1"/>
    <xf numFmtId="166" fontId="2" fillId="0" borderId="12" xfId="1" applyNumberFormat="1" applyFont="1" applyBorder="1"/>
    <xf numFmtId="165" fontId="2" fillId="0" borderId="16" xfId="1" applyNumberFormat="1" applyFont="1" applyBorder="1"/>
    <xf numFmtId="166" fontId="2" fillId="0" borderId="14" xfId="1" applyNumberFormat="1" applyFont="1" applyBorder="1"/>
    <xf numFmtId="0" fontId="2" fillId="0" borderId="0" xfId="0" applyFont="1" applyAlignment="1">
      <alignment wrapText="1"/>
    </xf>
    <xf numFmtId="0" fontId="16" fillId="0" borderId="15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0" fillId="0" borderId="0" xfId="6" applyFont="1" applyFill="1" applyBorder="1" applyAlignment="1">
      <alignment horizontal="center"/>
    </xf>
  </cellXfs>
  <cellStyles count="11">
    <cellStyle name="Comma" xfId="1" builtinId="3"/>
    <cellStyle name="Comma 2" xfId="8" xr:uid="{90DE7EEC-2ECD-4E84-BD80-AB54342B2798}"/>
    <cellStyle name="Hyperlink" xfId="4" builtinId="8"/>
    <cellStyle name="Normal" xfId="0" builtinId="0"/>
    <cellStyle name="Normal 2" xfId="7" xr:uid="{C16646F0-40E8-4A4B-BDC8-EAF3CB6A592A}"/>
    <cellStyle name="Normal 3" xfId="10" xr:uid="{B91EC819-B39C-43D8-AD3D-5F03C0A1F95E}"/>
    <cellStyle name="Per cent 2" xfId="9" xr:uid="{1BAC0B74-8E07-452A-B5B3-4A50F6D28D75}"/>
    <cellStyle name="Percent" xfId="2" builtinId="5"/>
    <cellStyle name="Обычный 2" xfId="3" xr:uid="{00000000-0005-0000-0000-000002000000}"/>
    <cellStyle name="Обычный 3" xfId="6" xr:uid="{00000000-0005-0000-0000-000003000000}"/>
    <cellStyle name="Финансовый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'PL after expiration_options'!$J$12</c:f>
              <c:strCache>
                <c:ptCount val="1"/>
                <c:pt idx="0">
                  <c:v>PL at settlement "Bank sells call option"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'PL after expiration_options'!$C$13:$C$93</c:f>
              <c:numCache>
                <c:formatCode>#,##0.0000</c:formatCode>
                <c:ptCount val="81"/>
                <c:pt idx="0">
                  <c:v>80</c:v>
                </c:pt>
                <c:pt idx="1">
                  <c:v>79</c:v>
                </c:pt>
                <c:pt idx="2">
                  <c:v>78</c:v>
                </c:pt>
                <c:pt idx="3">
                  <c:v>77</c:v>
                </c:pt>
                <c:pt idx="4">
                  <c:v>76</c:v>
                </c:pt>
                <c:pt idx="5">
                  <c:v>75</c:v>
                </c:pt>
                <c:pt idx="6">
                  <c:v>74</c:v>
                </c:pt>
                <c:pt idx="7">
                  <c:v>73</c:v>
                </c:pt>
                <c:pt idx="8">
                  <c:v>72</c:v>
                </c:pt>
                <c:pt idx="9">
                  <c:v>71</c:v>
                </c:pt>
                <c:pt idx="10">
                  <c:v>70</c:v>
                </c:pt>
                <c:pt idx="11">
                  <c:v>69</c:v>
                </c:pt>
                <c:pt idx="12">
                  <c:v>68</c:v>
                </c:pt>
                <c:pt idx="13">
                  <c:v>67</c:v>
                </c:pt>
                <c:pt idx="14">
                  <c:v>66</c:v>
                </c:pt>
                <c:pt idx="15">
                  <c:v>65</c:v>
                </c:pt>
                <c:pt idx="16">
                  <c:v>64</c:v>
                </c:pt>
                <c:pt idx="17">
                  <c:v>63</c:v>
                </c:pt>
                <c:pt idx="18">
                  <c:v>62</c:v>
                </c:pt>
                <c:pt idx="19">
                  <c:v>61</c:v>
                </c:pt>
                <c:pt idx="20">
                  <c:v>60</c:v>
                </c:pt>
                <c:pt idx="21">
                  <c:v>59</c:v>
                </c:pt>
                <c:pt idx="22">
                  <c:v>58</c:v>
                </c:pt>
                <c:pt idx="23">
                  <c:v>57</c:v>
                </c:pt>
                <c:pt idx="24">
                  <c:v>56</c:v>
                </c:pt>
                <c:pt idx="25">
                  <c:v>55</c:v>
                </c:pt>
                <c:pt idx="26">
                  <c:v>54</c:v>
                </c:pt>
                <c:pt idx="27">
                  <c:v>53</c:v>
                </c:pt>
                <c:pt idx="28">
                  <c:v>52</c:v>
                </c:pt>
                <c:pt idx="29">
                  <c:v>51</c:v>
                </c:pt>
                <c:pt idx="30">
                  <c:v>50</c:v>
                </c:pt>
                <c:pt idx="31">
                  <c:v>49</c:v>
                </c:pt>
                <c:pt idx="32">
                  <c:v>48</c:v>
                </c:pt>
                <c:pt idx="33">
                  <c:v>47</c:v>
                </c:pt>
                <c:pt idx="34">
                  <c:v>46</c:v>
                </c:pt>
                <c:pt idx="35">
                  <c:v>45</c:v>
                </c:pt>
                <c:pt idx="36">
                  <c:v>44</c:v>
                </c:pt>
                <c:pt idx="37">
                  <c:v>43</c:v>
                </c:pt>
                <c:pt idx="38">
                  <c:v>42</c:v>
                </c:pt>
                <c:pt idx="39">
                  <c:v>41</c:v>
                </c:pt>
                <c:pt idx="40">
                  <c:v>40</c:v>
                </c:pt>
                <c:pt idx="41">
                  <c:v>39</c:v>
                </c:pt>
                <c:pt idx="42">
                  <c:v>38</c:v>
                </c:pt>
                <c:pt idx="43">
                  <c:v>37</c:v>
                </c:pt>
                <c:pt idx="44">
                  <c:v>36</c:v>
                </c:pt>
                <c:pt idx="45">
                  <c:v>35</c:v>
                </c:pt>
                <c:pt idx="46">
                  <c:v>34</c:v>
                </c:pt>
                <c:pt idx="47">
                  <c:v>33</c:v>
                </c:pt>
                <c:pt idx="48">
                  <c:v>32</c:v>
                </c:pt>
                <c:pt idx="49">
                  <c:v>31</c:v>
                </c:pt>
                <c:pt idx="50">
                  <c:v>30</c:v>
                </c:pt>
                <c:pt idx="51">
                  <c:v>29</c:v>
                </c:pt>
                <c:pt idx="52">
                  <c:v>28</c:v>
                </c:pt>
                <c:pt idx="53">
                  <c:v>27</c:v>
                </c:pt>
                <c:pt idx="54">
                  <c:v>26</c:v>
                </c:pt>
                <c:pt idx="55">
                  <c:v>25</c:v>
                </c:pt>
                <c:pt idx="56">
                  <c:v>24</c:v>
                </c:pt>
                <c:pt idx="57">
                  <c:v>23</c:v>
                </c:pt>
                <c:pt idx="58">
                  <c:v>22</c:v>
                </c:pt>
                <c:pt idx="59">
                  <c:v>21</c:v>
                </c:pt>
                <c:pt idx="60">
                  <c:v>20</c:v>
                </c:pt>
                <c:pt idx="61">
                  <c:v>19</c:v>
                </c:pt>
                <c:pt idx="62">
                  <c:v>18</c:v>
                </c:pt>
                <c:pt idx="63">
                  <c:v>17</c:v>
                </c:pt>
                <c:pt idx="64">
                  <c:v>16</c:v>
                </c:pt>
                <c:pt idx="65">
                  <c:v>15</c:v>
                </c:pt>
                <c:pt idx="66">
                  <c:v>14</c:v>
                </c:pt>
                <c:pt idx="67">
                  <c:v>13</c:v>
                </c:pt>
                <c:pt idx="68">
                  <c:v>12</c:v>
                </c:pt>
                <c:pt idx="69">
                  <c:v>11</c:v>
                </c:pt>
                <c:pt idx="70">
                  <c:v>10</c:v>
                </c:pt>
                <c:pt idx="71">
                  <c:v>9</c:v>
                </c:pt>
                <c:pt idx="72">
                  <c:v>8</c:v>
                </c:pt>
                <c:pt idx="73">
                  <c:v>7</c:v>
                </c:pt>
                <c:pt idx="74">
                  <c:v>6</c:v>
                </c:pt>
                <c:pt idx="75">
                  <c:v>5</c:v>
                </c:pt>
                <c:pt idx="76">
                  <c:v>4</c:v>
                </c:pt>
                <c:pt idx="77">
                  <c:v>3</c:v>
                </c:pt>
                <c:pt idx="78">
                  <c:v>2</c:v>
                </c:pt>
                <c:pt idx="79">
                  <c:v>1</c:v>
                </c:pt>
                <c:pt idx="80">
                  <c:v>0</c:v>
                </c:pt>
              </c:numCache>
            </c:numRef>
          </c:xVal>
          <c:yVal>
            <c:numRef>
              <c:f>'PL after expiration_options'!$J$13:$J$93</c:f>
              <c:numCache>
                <c:formatCode>#,##0.0</c:formatCode>
                <c:ptCount val="81"/>
                <c:pt idx="0">
                  <c:v>-37</c:v>
                </c:pt>
                <c:pt idx="1">
                  <c:v>-36</c:v>
                </c:pt>
                <c:pt idx="2">
                  <c:v>-35</c:v>
                </c:pt>
                <c:pt idx="3">
                  <c:v>-34</c:v>
                </c:pt>
                <c:pt idx="4">
                  <c:v>-33</c:v>
                </c:pt>
                <c:pt idx="5">
                  <c:v>-32</c:v>
                </c:pt>
                <c:pt idx="6">
                  <c:v>-31</c:v>
                </c:pt>
                <c:pt idx="7">
                  <c:v>-30</c:v>
                </c:pt>
                <c:pt idx="8">
                  <c:v>-29</c:v>
                </c:pt>
                <c:pt idx="9">
                  <c:v>-28</c:v>
                </c:pt>
                <c:pt idx="10">
                  <c:v>-27</c:v>
                </c:pt>
                <c:pt idx="11">
                  <c:v>-26</c:v>
                </c:pt>
                <c:pt idx="12">
                  <c:v>-25</c:v>
                </c:pt>
                <c:pt idx="13">
                  <c:v>-24</c:v>
                </c:pt>
                <c:pt idx="14">
                  <c:v>-23</c:v>
                </c:pt>
                <c:pt idx="15">
                  <c:v>-22</c:v>
                </c:pt>
                <c:pt idx="16">
                  <c:v>-21</c:v>
                </c:pt>
                <c:pt idx="17">
                  <c:v>-20</c:v>
                </c:pt>
                <c:pt idx="18">
                  <c:v>-19</c:v>
                </c:pt>
                <c:pt idx="19">
                  <c:v>-18</c:v>
                </c:pt>
                <c:pt idx="20">
                  <c:v>-17</c:v>
                </c:pt>
                <c:pt idx="21">
                  <c:v>-16</c:v>
                </c:pt>
                <c:pt idx="22">
                  <c:v>-15</c:v>
                </c:pt>
                <c:pt idx="23">
                  <c:v>-14</c:v>
                </c:pt>
                <c:pt idx="24">
                  <c:v>-13</c:v>
                </c:pt>
                <c:pt idx="25">
                  <c:v>-12</c:v>
                </c:pt>
                <c:pt idx="26">
                  <c:v>-11</c:v>
                </c:pt>
                <c:pt idx="27">
                  <c:v>-10</c:v>
                </c:pt>
                <c:pt idx="28">
                  <c:v>-9</c:v>
                </c:pt>
                <c:pt idx="29">
                  <c:v>-8</c:v>
                </c:pt>
                <c:pt idx="30">
                  <c:v>-7</c:v>
                </c:pt>
                <c:pt idx="31">
                  <c:v>-6</c:v>
                </c:pt>
                <c:pt idx="32">
                  <c:v>-5</c:v>
                </c:pt>
                <c:pt idx="33">
                  <c:v>-4</c:v>
                </c:pt>
                <c:pt idx="34">
                  <c:v>-3</c:v>
                </c:pt>
                <c:pt idx="35">
                  <c:v>-2</c:v>
                </c:pt>
                <c:pt idx="36">
                  <c:v>-1</c:v>
                </c:pt>
                <c:pt idx="37">
                  <c:v>0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29-42E6-9A42-647350CE9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861296"/>
        <c:axId val="1475861624"/>
      </c:scatterChart>
      <c:valAx>
        <c:axId val="147586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75861624"/>
        <c:crosses val="autoZero"/>
        <c:crossBetween val="midCat"/>
      </c:valAx>
      <c:valAx>
        <c:axId val="147586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75861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78839525515594E-2"/>
          <c:y val="0.16708333333333336"/>
          <c:w val="0.8962084470682572"/>
          <c:h val="0.6386190301854201"/>
        </c:manualLayout>
      </c:layout>
      <c:lineChart>
        <c:grouping val="standard"/>
        <c:varyColors val="0"/>
        <c:ser>
          <c:idx val="0"/>
          <c:order val="0"/>
          <c:tx>
            <c:strRef>
              <c:f>'Interest accrual'!$C$7</c:f>
              <c:strCache>
                <c:ptCount val="1"/>
                <c:pt idx="0">
                  <c:v> Simple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'Interest accrual'!$B$8:$B$32</c:f>
              <c:numCache>
                <c:formatCode>m/d/yyyy</c:formatCode>
                <c:ptCount val="2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</c:numCache>
            </c:numRef>
          </c:cat>
          <c:val>
            <c:numRef>
              <c:f>'Interest accrual'!$C$8:$C$32</c:f>
              <c:numCache>
                <c:formatCode>_(* #,##0_);_(* \(#,##0\);_(* "-"??_);_(@_)</c:formatCode>
                <c:ptCount val="25"/>
                <c:pt idx="0">
                  <c:v>1000000</c:v>
                </c:pt>
                <c:pt idx="1">
                  <c:v>1008493.1506849315</c:v>
                </c:pt>
                <c:pt idx="2">
                  <c:v>1016164.3835616439</c:v>
                </c:pt>
                <c:pt idx="3">
                  <c:v>1024657.5342465753</c:v>
                </c:pt>
                <c:pt idx="4">
                  <c:v>1032876.7123287672</c:v>
                </c:pt>
                <c:pt idx="5">
                  <c:v>1041369.8630136987</c:v>
                </c:pt>
                <c:pt idx="6">
                  <c:v>1049589.0410958903</c:v>
                </c:pt>
                <c:pt idx="7">
                  <c:v>1058082.1917808219</c:v>
                </c:pt>
                <c:pt idx="8">
                  <c:v>1066575.3424657534</c:v>
                </c:pt>
                <c:pt idx="9">
                  <c:v>1074794.5205479453</c:v>
                </c:pt>
                <c:pt idx="10">
                  <c:v>1083287.6712328768</c:v>
                </c:pt>
                <c:pt idx="11">
                  <c:v>1091506.8493150687</c:v>
                </c:pt>
                <c:pt idx="12">
                  <c:v>1100000</c:v>
                </c:pt>
                <c:pt idx="13">
                  <c:v>1108493.1506849315</c:v>
                </c:pt>
                <c:pt idx="14">
                  <c:v>1116164.383561644</c:v>
                </c:pt>
                <c:pt idx="15">
                  <c:v>1124657.5342465756</c:v>
                </c:pt>
                <c:pt idx="16">
                  <c:v>1132876.7123287672</c:v>
                </c:pt>
                <c:pt idx="17">
                  <c:v>1141369.8630136985</c:v>
                </c:pt>
                <c:pt idx="18">
                  <c:v>1149589.0410958903</c:v>
                </c:pt>
                <c:pt idx="19">
                  <c:v>1158082.1917808219</c:v>
                </c:pt>
                <c:pt idx="20">
                  <c:v>1166575.3424657534</c:v>
                </c:pt>
                <c:pt idx="21">
                  <c:v>1174794.5205479453</c:v>
                </c:pt>
                <c:pt idx="22">
                  <c:v>1183287.6712328768</c:v>
                </c:pt>
                <c:pt idx="23">
                  <c:v>1191506.8493150685</c:v>
                </c:pt>
                <c:pt idx="24">
                  <c:v>1200000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B-4D71-A217-C03584922F13}"/>
            </c:ext>
          </c:extLst>
        </c:ser>
        <c:ser>
          <c:idx val="1"/>
          <c:order val="1"/>
          <c:tx>
            <c:strRef>
              <c:f>'Interest accrual'!$D$7</c:f>
              <c:strCache>
                <c:ptCount val="1"/>
                <c:pt idx="0">
                  <c:v> Compounded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'Interest accrual'!$B$8:$B$32</c:f>
              <c:numCache>
                <c:formatCode>m/d/yyyy</c:formatCode>
                <c:ptCount val="2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</c:numCache>
            </c:numRef>
          </c:cat>
          <c:val>
            <c:numRef>
              <c:f>'Interest accrual'!$D$8:$D$32</c:f>
              <c:numCache>
                <c:formatCode>_(* #,##0_);_(* \(#,##0\);_(* "-"??_);_(@_)</c:formatCode>
                <c:ptCount val="25"/>
                <c:pt idx="0">
                  <c:v>1000000</c:v>
                </c:pt>
                <c:pt idx="1">
                  <c:v>1008127.688966854</c:v>
                </c:pt>
                <c:pt idx="2">
                  <c:v>1015525.5919365087</c:v>
                </c:pt>
                <c:pt idx="3">
                  <c:v>1023779.468085649</c:v>
                </c:pt>
                <c:pt idx="4">
                  <c:v>1031830.9583913459</c:v>
                </c:pt>
                <c:pt idx="5">
                  <c:v>1040217.3594875215</c:v>
                </c:pt>
                <c:pt idx="6">
                  <c:v>1048398.1252157033</c:v>
                </c:pt>
                <c:pt idx="7">
                  <c:v>1056919.1790908894</c:v>
                </c:pt>
                <c:pt idx="8">
                  <c:v>1065509.4894416428</c:v>
                </c:pt>
                <c:pt idx="9">
                  <c:v>1073889.16454971</c:v>
                </c:pt>
                <c:pt idx="10">
                  <c:v>1082617.4016640447</c:v>
                </c:pt>
                <c:pt idx="11">
                  <c:v>1091131.6215580772</c:v>
                </c:pt>
                <c:pt idx="12">
                  <c:v>1100000</c:v>
                </c:pt>
                <c:pt idx="13">
                  <c:v>1108940.4578635395</c:v>
                </c:pt>
                <c:pt idx="14">
                  <c:v>1117078.1511301596</c:v>
                </c:pt>
                <c:pt idx="15">
                  <c:v>1126157.4148942139</c:v>
                </c:pt>
                <c:pt idx="16">
                  <c:v>1135014.0542304805</c:v>
                </c:pt>
                <c:pt idx="17">
                  <c:v>1144239.0954362738</c:v>
                </c:pt>
                <c:pt idx="18">
                  <c:v>1153237.937737274</c:v>
                </c:pt>
                <c:pt idx="19">
                  <c:v>1162611.0969999786</c:v>
                </c:pt>
                <c:pt idx="20">
                  <c:v>1172060.438385807</c:v>
                </c:pt>
                <c:pt idx="21">
                  <c:v>1181278.0810046808</c:v>
                </c:pt>
                <c:pt idx="22">
                  <c:v>1190879.1418304492</c:v>
                </c:pt>
                <c:pt idx="23">
                  <c:v>1200244.7837138847</c:v>
                </c:pt>
                <c:pt idx="24">
                  <c:v>1210000.0000000002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B-4D71-A217-C03584922F13}"/>
            </c:ext>
          </c:extLst>
        </c:ser>
        <c:ser>
          <c:idx val="2"/>
          <c:order val="2"/>
          <c:tx>
            <c:strRef>
              <c:f>'Interest accrual'!$E$7</c:f>
              <c:strCache>
                <c:ptCount val="1"/>
                <c:pt idx="0">
                  <c:v> Continuously compounded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'Interest accrual'!$B$8:$B$32</c:f>
              <c:numCache>
                <c:formatCode>m/d/yyyy</c:formatCode>
                <c:ptCount val="2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</c:numCache>
            </c:numRef>
          </c:cat>
          <c:val>
            <c:numRef>
              <c:f>'Interest accrual'!$E$8:$E$32</c:f>
              <c:numCache>
                <c:formatCode>_(* #,##0_);_(* \(#,##0\);_(* "-"??_);_(@_)</c:formatCode>
                <c:ptCount val="25"/>
                <c:pt idx="0">
                  <c:v>1000000</c:v>
                </c:pt>
                <c:pt idx="1">
                  <c:v>1008529.3198133156</c:v>
                </c:pt>
                <c:pt idx="2">
                  <c:v>1016295.7339881347</c:v>
                </c:pt>
                <c:pt idx="3">
                  <c:v>1024964.0453282278</c:v>
                </c:pt>
                <c:pt idx="4">
                  <c:v>1033423.1230568048</c:v>
                </c:pt>
                <c:pt idx="5">
                  <c:v>1042237.5193758316</c:v>
                </c:pt>
                <c:pt idx="6">
                  <c:v>1050839.1559193027</c:v>
                </c:pt>
                <c:pt idx="7">
                  <c:v>1059802.0991524933</c:v>
                </c:pt>
                <c:pt idx="8">
                  <c:v>1068841.490194988</c:v>
                </c:pt>
                <c:pt idx="9">
                  <c:v>1077662.690593478</c:v>
                </c:pt>
                <c:pt idx="10">
                  <c:v>1086854.4203324281</c:v>
                </c:pt>
                <c:pt idx="11">
                  <c:v>1095824.2823126062</c:v>
                </c:pt>
                <c:pt idx="12">
                  <c:v>1105170.9180756477</c:v>
                </c:pt>
                <c:pt idx="13">
                  <c:v>1114597.2742842904</c:v>
                </c:pt>
                <c:pt idx="14">
                  <c:v>1123180.4893680308</c:v>
                </c:pt>
                <c:pt idx="15">
                  <c:v>1132760.4549699272</c:v>
                </c:pt>
                <c:pt idx="16">
                  <c:v>1142109.1816692918</c:v>
                </c:pt>
                <c:pt idx="17">
                  <c:v>1151850.5961414734</c:v>
                </c:pt>
                <c:pt idx="18">
                  <c:v>1161356.8746971744</c:v>
                </c:pt>
                <c:pt idx="19">
                  <c:v>1171262.4588988593</c:v>
                </c:pt>
                <c:pt idx="20">
                  <c:v>1181252.5309961382</c:v>
                </c:pt>
                <c:pt idx="21">
                  <c:v>1191001.4651390668</c:v>
                </c:pt>
                <c:pt idx="22">
                  <c:v>1201159.8975333653</c:v>
                </c:pt>
                <c:pt idx="23">
                  <c:v>1211073.1281330108</c:v>
                </c:pt>
                <c:pt idx="24">
                  <c:v>1221402.7581601699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B-4D71-A217-C03584922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933280"/>
        <c:axId val="773931968"/>
      </c:lineChart>
      <c:dateAx>
        <c:axId val="7739332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73931968"/>
        <c:crosses val="autoZero"/>
        <c:auto val="1"/>
        <c:lblOffset val="100"/>
        <c:baseTimeUnit val="months"/>
      </c:dateAx>
      <c:valAx>
        <c:axId val="773931968"/>
        <c:scaling>
          <c:orientation val="minMax"/>
          <c:max val="1400000"/>
          <c:min val="9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7393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'PL after expiration_options'!$P$12</c:f>
              <c:strCache>
                <c:ptCount val="1"/>
                <c:pt idx="0">
                  <c:v>PL at settlement "Bank buys put option"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'PL after expiration_options'!$C$13:$C$93</c:f>
              <c:numCache>
                <c:formatCode>#,##0.0000</c:formatCode>
                <c:ptCount val="81"/>
                <c:pt idx="0">
                  <c:v>80</c:v>
                </c:pt>
                <c:pt idx="1">
                  <c:v>79</c:v>
                </c:pt>
                <c:pt idx="2">
                  <c:v>78</c:v>
                </c:pt>
                <c:pt idx="3">
                  <c:v>77</c:v>
                </c:pt>
                <c:pt idx="4">
                  <c:v>76</c:v>
                </c:pt>
                <c:pt idx="5">
                  <c:v>75</c:v>
                </c:pt>
                <c:pt idx="6">
                  <c:v>74</c:v>
                </c:pt>
                <c:pt idx="7">
                  <c:v>73</c:v>
                </c:pt>
                <c:pt idx="8">
                  <c:v>72</c:v>
                </c:pt>
                <c:pt idx="9">
                  <c:v>71</c:v>
                </c:pt>
                <c:pt idx="10">
                  <c:v>70</c:v>
                </c:pt>
                <c:pt idx="11">
                  <c:v>69</c:v>
                </c:pt>
                <c:pt idx="12">
                  <c:v>68</c:v>
                </c:pt>
                <c:pt idx="13">
                  <c:v>67</c:v>
                </c:pt>
                <c:pt idx="14">
                  <c:v>66</c:v>
                </c:pt>
                <c:pt idx="15">
                  <c:v>65</c:v>
                </c:pt>
                <c:pt idx="16">
                  <c:v>64</c:v>
                </c:pt>
                <c:pt idx="17">
                  <c:v>63</c:v>
                </c:pt>
                <c:pt idx="18">
                  <c:v>62</c:v>
                </c:pt>
                <c:pt idx="19">
                  <c:v>61</c:v>
                </c:pt>
                <c:pt idx="20">
                  <c:v>60</c:v>
                </c:pt>
                <c:pt idx="21">
                  <c:v>59</c:v>
                </c:pt>
                <c:pt idx="22">
                  <c:v>58</c:v>
                </c:pt>
                <c:pt idx="23">
                  <c:v>57</c:v>
                </c:pt>
                <c:pt idx="24">
                  <c:v>56</c:v>
                </c:pt>
                <c:pt idx="25">
                  <c:v>55</c:v>
                </c:pt>
                <c:pt idx="26">
                  <c:v>54</c:v>
                </c:pt>
                <c:pt idx="27">
                  <c:v>53</c:v>
                </c:pt>
                <c:pt idx="28">
                  <c:v>52</c:v>
                </c:pt>
                <c:pt idx="29">
                  <c:v>51</c:v>
                </c:pt>
                <c:pt idx="30">
                  <c:v>50</c:v>
                </c:pt>
                <c:pt idx="31">
                  <c:v>49</c:v>
                </c:pt>
                <c:pt idx="32">
                  <c:v>48</c:v>
                </c:pt>
                <c:pt idx="33">
                  <c:v>47</c:v>
                </c:pt>
                <c:pt idx="34">
                  <c:v>46</c:v>
                </c:pt>
                <c:pt idx="35">
                  <c:v>45</c:v>
                </c:pt>
                <c:pt idx="36">
                  <c:v>44</c:v>
                </c:pt>
                <c:pt idx="37">
                  <c:v>43</c:v>
                </c:pt>
                <c:pt idx="38">
                  <c:v>42</c:v>
                </c:pt>
                <c:pt idx="39">
                  <c:v>41</c:v>
                </c:pt>
                <c:pt idx="40">
                  <c:v>40</c:v>
                </c:pt>
                <c:pt idx="41">
                  <c:v>39</c:v>
                </c:pt>
                <c:pt idx="42">
                  <c:v>38</c:v>
                </c:pt>
                <c:pt idx="43">
                  <c:v>37</c:v>
                </c:pt>
                <c:pt idx="44">
                  <c:v>36</c:v>
                </c:pt>
                <c:pt idx="45">
                  <c:v>35</c:v>
                </c:pt>
                <c:pt idx="46">
                  <c:v>34</c:v>
                </c:pt>
                <c:pt idx="47">
                  <c:v>33</c:v>
                </c:pt>
                <c:pt idx="48">
                  <c:v>32</c:v>
                </c:pt>
                <c:pt idx="49">
                  <c:v>31</c:v>
                </c:pt>
                <c:pt idx="50">
                  <c:v>30</c:v>
                </c:pt>
                <c:pt idx="51">
                  <c:v>29</c:v>
                </c:pt>
                <c:pt idx="52">
                  <c:v>28</c:v>
                </c:pt>
                <c:pt idx="53">
                  <c:v>27</c:v>
                </c:pt>
                <c:pt idx="54">
                  <c:v>26</c:v>
                </c:pt>
                <c:pt idx="55">
                  <c:v>25</c:v>
                </c:pt>
                <c:pt idx="56">
                  <c:v>24</c:v>
                </c:pt>
                <c:pt idx="57">
                  <c:v>23</c:v>
                </c:pt>
                <c:pt idx="58">
                  <c:v>22</c:v>
                </c:pt>
                <c:pt idx="59">
                  <c:v>21</c:v>
                </c:pt>
                <c:pt idx="60">
                  <c:v>20</c:v>
                </c:pt>
                <c:pt idx="61">
                  <c:v>19</c:v>
                </c:pt>
                <c:pt idx="62">
                  <c:v>18</c:v>
                </c:pt>
                <c:pt idx="63">
                  <c:v>17</c:v>
                </c:pt>
                <c:pt idx="64">
                  <c:v>16</c:v>
                </c:pt>
                <c:pt idx="65">
                  <c:v>15</c:v>
                </c:pt>
                <c:pt idx="66">
                  <c:v>14</c:v>
                </c:pt>
                <c:pt idx="67">
                  <c:v>13</c:v>
                </c:pt>
                <c:pt idx="68">
                  <c:v>12</c:v>
                </c:pt>
                <c:pt idx="69">
                  <c:v>11</c:v>
                </c:pt>
                <c:pt idx="70">
                  <c:v>10</c:v>
                </c:pt>
                <c:pt idx="71">
                  <c:v>9</c:v>
                </c:pt>
                <c:pt idx="72">
                  <c:v>8</c:v>
                </c:pt>
                <c:pt idx="73">
                  <c:v>7</c:v>
                </c:pt>
                <c:pt idx="74">
                  <c:v>6</c:v>
                </c:pt>
                <c:pt idx="75">
                  <c:v>5</c:v>
                </c:pt>
                <c:pt idx="76">
                  <c:v>4</c:v>
                </c:pt>
                <c:pt idx="77">
                  <c:v>3</c:v>
                </c:pt>
                <c:pt idx="78">
                  <c:v>2</c:v>
                </c:pt>
                <c:pt idx="79">
                  <c:v>1</c:v>
                </c:pt>
                <c:pt idx="80">
                  <c:v>0</c:v>
                </c:pt>
              </c:numCache>
            </c:numRef>
          </c:xVal>
          <c:yVal>
            <c:numRef>
              <c:f>'PL after expiration_options'!$P$13:$P$93</c:f>
              <c:numCache>
                <c:formatCode>#,##0.0</c:formatCode>
                <c:ptCount val="81"/>
                <c:pt idx="0">
                  <c:v>-3</c:v>
                </c:pt>
                <c:pt idx="1">
                  <c:v>-3</c:v>
                </c:pt>
                <c:pt idx="2">
                  <c:v>-3</c:v>
                </c:pt>
                <c:pt idx="3">
                  <c:v>-3</c:v>
                </c:pt>
                <c:pt idx="4">
                  <c:v>-3</c:v>
                </c:pt>
                <c:pt idx="5">
                  <c:v>-3</c:v>
                </c:pt>
                <c:pt idx="6">
                  <c:v>-3</c:v>
                </c:pt>
                <c:pt idx="7">
                  <c:v>-3</c:v>
                </c:pt>
                <c:pt idx="8">
                  <c:v>-3</c:v>
                </c:pt>
                <c:pt idx="9">
                  <c:v>-3</c:v>
                </c:pt>
                <c:pt idx="10">
                  <c:v>-3</c:v>
                </c:pt>
                <c:pt idx="11">
                  <c:v>-3</c:v>
                </c:pt>
                <c:pt idx="12">
                  <c:v>-3</c:v>
                </c:pt>
                <c:pt idx="13">
                  <c:v>-3</c:v>
                </c:pt>
                <c:pt idx="14">
                  <c:v>-3</c:v>
                </c:pt>
                <c:pt idx="15">
                  <c:v>-3</c:v>
                </c:pt>
                <c:pt idx="16">
                  <c:v>-3</c:v>
                </c:pt>
                <c:pt idx="17">
                  <c:v>-3</c:v>
                </c:pt>
                <c:pt idx="18">
                  <c:v>-3</c:v>
                </c:pt>
                <c:pt idx="19">
                  <c:v>-3</c:v>
                </c:pt>
                <c:pt idx="20">
                  <c:v>-3</c:v>
                </c:pt>
                <c:pt idx="21">
                  <c:v>-3</c:v>
                </c:pt>
                <c:pt idx="22">
                  <c:v>-3</c:v>
                </c:pt>
                <c:pt idx="23">
                  <c:v>-3</c:v>
                </c:pt>
                <c:pt idx="24">
                  <c:v>-3</c:v>
                </c:pt>
                <c:pt idx="25">
                  <c:v>-3</c:v>
                </c:pt>
                <c:pt idx="26">
                  <c:v>-3</c:v>
                </c:pt>
                <c:pt idx="27">
                  <c:v>-3</c:v>
                </c:pt>
                <c:pt idx="28">
                  <c:v>-3</c:v>
                </c:pt>
                <c:pt idx="29">
                  <c:v>-3</c:v>
                </c:pt>
                <c:pt idx="30">
                  <c:v>-3</c:v>
                </c:pt>
                <c:pt idx="31">
                  <c:v>-3</c:v>
                </c:pt>
                <c:pt idx="32">
                  <c:v>-3</c:v>
                </c:pt>
                <c:pt idx="33">
                  <c:v>-3</c:v>
                </c:pt>
                <c:pt idx="34">
                  <c:v>-3</c:v>
                </c:pt>
                <c:pt idx="35">
                  <c:v>-3</c:v>
                </c:pt>
                <c:pt idx="36">
                  <c:v>-3</c:v>
                </c:pt>
                <c:pt idx="37">
                  <c:v>-3</c:v>
                </c:pt>
                <c:pt idx="38">
                  <c:v>-3</c:v>
                </c:pt>
                <c:pt idx="39">
                  <c:v>-3</c:v>
                </c:pt>
                <c:pt idx="40">
                  <c:v>-3</c:v>
                </c:pt>
                <c:pt idx="41">
                  <c:v>-2</c:v>
                </c:pt>
                <c:pt idx="42">
                  <c:v>-1</c:v>
                </c:pt>
                <c:pt idx="43">
                  <c:v>0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  <c:pt idx="59">
                  <c:v>16</c:v>
                </c:pt>
                <c:pt idx="60">
                  <c:v>17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22</c:v>
                </c:pt>
                <c:pt idx="66">
                  <c:v>23</c:v>
                </c:pt>
                <c:pt idx="67">
                  <c:v>24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28</c:v>
                </c:pt>
                <c:pt idx="72">
                  <c:v>29</c:v>
                </c:pt>
                <c:pt idx="73">
                  <c:v>30</c:v>
                </c:pt>
                <c:pt idx="74">
                  <c:v>31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35</c:v>
                </c:pt>
                <c:pt idx="79">
                  <c:v>36</c:v>
                </c:pt>
                <c:pt idx="80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6E-4367-BCFC-577121EE9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861296"/>
        <c:axId val="1475861624"/>
      </c:scatterChart>
      <c:valAx>
        <c:axId val="147586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75861624"/>
        <c:crosses val="autoZero"/>
        <c:crossBetween val="midCat"/>
      </c:valAx>
      <c:valAx>
        <c:axId val="147586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75861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'PL after expiration_options'!$U$12</c:f>
              <c:strCache>
                <c:ptCount val="1"/>
                <c:pt idx="0">
                  <c:v>PL at settlement "Bank sells put option"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'PL after expiration_options'!$C$13:$C$93</c:f>
              <c:numCache>
                <c:formatCode>#,##0.0000</c:formatCode>
                <c:ptCount val="81"/>
                <c:pt idx="0">
                  <c:v>80</c:v>
                </c:pt>
                <c:pt idx="1">
                  <c:v>79</c:v>
                </c:pt>
                <c:pt idx="2">
                  <c:v>78</c:v>
                </c:pt>
                <c:pt idx="3">
                  <c:v>77</c:v>
                </c:pt>
                <c:pt idx="4">
                  <c:v>76</c:v>
                </c:pt>
                <c:pt idx="5">
                  <c:v>75</c:v>
                </c:pt>
                <c:pt idx="6">
                  <c:v>74</c:v>
                </c:pt>
                <c:pt idx="7">
                  <c:v>73</c:v>
                </c:pt>
                <c:pt idx="8">
                  <c:v>72</c:v>
                </c:pt>
                <c:pt idx="9">
                  <c:v>71</c:v>
                </c:pt>
                <c:pt idx="10">
                  <c:v>70</c:v>
                </c:pt>
                <c:pt idx="11">
                  <c:v>69</c:v>
                </c:pt>
                <c:pt idx="12">
                  <c:v>68</c:v>
                </c:pt>
                <c:pt idx="13">
                  <c:v>67</c:v>
                </c:pt>
                <c:pt idx="14">
                  <c:v>66</c:v>
                </c:pt>
                <c:pt idx="15">
                  <c:v>65</c:v>
                </c:pt>
                <c:pt idx="16">
                  <c:v>64</c:v>
                </c:pt>
                <c:pt idx="17">
                  <c:v>63</c:v>
                </c:pt>
                <c:pt idx="18">
                  <c:v>62</c:v>
                </c:pt>
                <c:pt idx="19">
                  <c:v>61</c:v>
                </c:pt>
                <c:pt idx="20">
                  <c:v>60</c:v>
                </c:pt>
                <c:pt idx="21">
                  <c:v>59</c:v>
                </c:pt>
                <c:pt idx="22">
                  <c:v>58</c:v>
                </c:pt>
                <c:pt idx="23">
                  <c:v>57</c:v>
                </c:pt>
                <c:pt idx="24">
                  <c:v>56</c:v>
                </c:pt>
                <c:pt idx="25">
                  <c:v>55</c:v>
                </c:pt>
                <c:pt idx="26">
                  <c:v>54</c:v>
                </c:pt>
                <c:pt idx="27">
                  <c:v>53</c:v>
                </c:pt>
                <c:pt idx="28">
                  <c:v>52</c:v>
                </c:pt>
                <c:pt idx="29">
                  <c:v>51</c:v>
                </c:pt>
                <c:pt idx="30">
                  <c:v>50</c:v>
                </c:pt>
                <c:pt idx="31">
                  <c:v>49</c:v>
                </c:pt>
                <c:pt idx="32">
                  <c:v>48</c:v>
                </c:pt>
                <c:pt idx="33">
                  <c:v>47</c:v>
                </c:pt>
                <c:pt idx="34">
                  <c:v>46</c:v>
                </c:pt>
                <c:pt idx="35">
                  <c:v>45</c:v>
                </c:pt>
                <c:pt idx="36">
                  <c:v>44</c:v>
                </c:pt>
                <c:pt idx="37">
                  <c:v>43</c:v>
                </c:pt>
                <c:pt idx="38">
                  <c:v>42</c:v>
                </c:pt>
                <c:pt idx="39">
                  <c:v>41</c:v>
                </c:pt>
                <c:pt idx="40">
                  <c:v>40</c:v>
                </c:pt>
                <c:pt idx="41">
                  <c:v>39</c:v>
                </c:pt>
                <c:pt idx="42">
                  <c:v>38</c:v>
                </c:pt>
                <c:pt idx="43">
                  <c:v>37</c:v>
                </c:pt>
                <c:pt idx="44">
                  <c:v>36</c:v>
                </c:pt>
                <c:pt idx="45">
                  <c:v>35</c:v>
                </c:pt>
                <c:pt idx="46">
                  <c:v>34</c:v>
                </c:pt>
                <c:pt idx="47">
                  <c:v>33</c:v>
                </c:pt>
                <c:pt idx="48">
                  <c:v>32</c:v>
                </c:pt>
                <c:pt idx="49">
                  <c:v>31</c:v>
                </c:pt>
                <c:pt idx="50">
                  <c:v>30</c:v>
                </c:pt>
                <c:pt idx="51">
                  <c:v>29</c:v>
                </c:pt>
                <c:pt idx="52">
                  <c:v>28</c:v>
                </c:pt>
                <c:pt idx="53">
                  <c:v>27</c:v>
                </c:pt>
                <c:pt idx="54">
                  <c:v>26</c:v>
                </c:pt>
                <c:pt idx="55">
                  <c:v>25</c:v>
                </c:pt>
                <c:pt idx="56">
                  <c:v>24</c:v>
                </c:pt>
                <c:pt idx="57">
                  <c:v>23</c:v>
                </c:pt>
                <c:pt idx="58">
                  <c:v>22</c:v>
                </c:pt>
                <c:pt idx="59">
                  <c:v>21</c:v>
                </c:pt>
                <c:pt idx="60">
                  <c:v>20</c:v>
                </c:pt>
                <c:pt idx="61">
                  <c:v>19</c:v>
                </c:pt>
                <c:pt idx="62">
                  <c:v>18</c:v>
                </c:pt>
                <c:pt idx="63">
                  <c:v>17</c:v>
                </c:pt>
                <c:pt idx="64">
                  <c:v>16</c:v>
                </c:pt>
                <c:pt idx="65">
                  <c:v>15</c:v>
                </c:pt>
                <c:pt idx="66">
                  <c:v>14</c:v>
                </c:pt>
                <c:pt idx="67">
                  <c:v>13</c:v>
                </c:pt>
                <c:pt idx="68">
                  <c:v>12</c:v>
                </c:pt>
                <c:pt idx="69">
                  <c:v>11</c:v>
                </c:pt>
                <c:pt idx="70">
                  <c:v>10</c:v>
                </c:pt>
                <c:pt idx="71">
                  <c:v>9</c:v>
                </c:pt>
                <c:pt idx="72">
                  <c:v>8</c:v>
                </c:pt>
                <c:pt idx="73">
                  <c:v>7</c:v>
                </c:pt>
                <c:pt idx="74">
                  <c:v>6</c:v>
                </c:pt>
                <c:pt idx="75">
                  <c:v>5</c:v>
                </c:pt>
                <c:pt idx="76">
                  <c:v>4</c:v>
                </c:pt>
                <c:pt idx="77">
                  <c:v>3</c:v>
                </c:pt>
                <c:pt idx="78">
                  <c:v>2</c:v>
                </c:pt>
                <c:pt idx="79">
                  <c:v>1</c:v>
                </c:pt>
                <c:pt idx="80">
                  <c:v>0</c:v>
                </c:pt>
              </c:numCache>
            </c:numRef>
          </c:xVal>
          <c:yVal>
            <c:numRef>
              <c:f>'PL after expiration_options'!$U$13:$U$93</c:f>
              <c:numCache>
                <c:formatCode>#,##0.0</c:formatCode>
                <c:ptCount val="8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1</c:v>
                </c:pt>
                <c:pt idx="43">
                  <c:v>0</c:v>
                </c:pt>
                <c:pt idx="44">
                  <c:v>-1</c:v>
                </c:pt>
                <c:pt idx="45">
                  <c:v>-2</c:v>
                </c:pt>
                <c:pt idx="46">
                  <c:v>-3</c:v>
                </c:pt>
                <c:pt idx="47">
                  <c:v>-4</c:v>
                </c:pt>
                <c:pt idx="48">
                  <c:v>-5</c:v>
                </c:pt>
                <c:pt idx="49">
                  <c:v>-6</c:v>
                </c:pt>
                <c:pt idx="50">
                  <c:v>-7</c:v>
                </c:pt>
                <c:pt idx="51">
                  <c:v>-8</c:v>
                </c:pt>
                <c:pt idx="52">
                  <c:v>-9</c:v>
                </c:pt>
                <c:pt idx="53">
                  <c:v>-10</c:v>
                </c:pt>
                <c:pt idx="54">
                  <c:v>-11</c:v>
                </c:pt>
                <c:pt idx="55">
                  <c:v>-12</c:v>
                </c:pt>
                <c:pt idx="56">
                  <c:v>-13</c:v>
                </c:pt>
                <c:pt idx="57">
                  <c:v>-14</c:v>
                </c:pt>
                <c:pt idx="58">
                  <c:v>-15</c:v>
                </c:pt>
                <c:pt idx="59">
                  <c:v>-16</c:v>
                </c:pt>
                <c:pt idx="60">
                  <c:v>-17</c:v>
                </c:pt>
                <c:pt idx="61">
                  <c:v>-18</c:v>
                </c:pt>
                <c:pt idx="62">
                  <c:v>-19</c:v>
                </c:pt>
                <c:pt idx="63">
                  <c:v>-20</c:v>
                </c:pt>
                <c:pt idx="64">
                  <c:v>-21</c:v>
                </c:pt>
                <c:pt idx="65">
                  <c:v>-22</c:v>
                </c:pt>
                <c:pt idx="66">
                  <c:v>-23</c:v>
                </c:pt>
                <c:pt idx="67">
                  <c:v>-24</c:v>
                </c:pt>
                <c:pt idx="68">
                  <c:v>-25</c:v>
                </c:pt>
                <c:pt idx="69">
                  <c:v>-26</c:v>
                </c:pt>
                <c:pt idx="70">
                  <c:v>-27</c:v>
                </c:pt>
                <c:pt idx="71">
                  <c:v>-28</c:v>
                </c:pt>
                <c:pt idx="72">
                  <c:v>-29</c:v>
                </c:pt>
                <c:pt idx="73">
                  <c:v>-30</c:v>
                </c:pt>
                <c:pt idx="74">
                  <c:v>-31</c:v>
                </c:pt>
                <c:pt idx="75">
                  <c:v>-32</c:v>
                </c:pt>
                <c:pt idx="76">
                  <c:v>-33</c:v>
                </c:pt>
                <c:pt idx="77">
                  <c:v>-34</c:v>
                </c:pt>
                <c:pt idx="78">
                  <c:v>-35</c:v>
                </c:pt>
                <c:pt idx="79">
                  <c:v>-36</c:v>
                </c:pt>
                <c:pt idx="80">
                  <c:v>-37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6D-44B3-B426-1A725D4A5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861296"/>
        <c:axId val="1475861624"/>
      </c:scatterChart>
      <c:valAx>
        <c:axId val="147586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75861624"/>
        <c:crosses val="autoZero"/>
        <c:crossBetween val="midCat"/>
      </c:valAx>
      <c:valAx>
        <c:axId val="147586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75861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'PL after expiration_options'!$D$12</c:f>
              <c:strCache>
                <c:ptCount val="1"/>
                <c:pt idx="0">
                  <c:v>PL at settlement "Bank buys call option"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'PL after expiration_options'!$C$13:$C$93</c:f>
              <c:numCache>
                <c:formatCode>#,##0.0000</c:formatCode>
                <c:ptCount val="81"/>
                <c:pt idx="0">
                  <c:v>80</c:v>
                </c:pt>
                <c:pt idx="1">
                  <c:v>79</c:v>
                </c:pt>
                <c:pt idx="2">
                  <c:v>78</c:v>
                </c:pt>
                <c:pt idx="3">
                  <c:v>77</c:v>
                </c:pt>
                <c:pt idx="4">
                  <c:v>76</c:v>
                </c:pt>
                <c:pt idx="5">
                  <c:v>75</c:v>
                </c:pt>
                <c:pt idx="6">
                  <c:v>74</c:v>
                </c:pt>
                <c:pt idx="7">
                  <c:v>73</c:v>
                </c:pt>
                <c:pt idx="8">
                  <c:v>72</c:v>
                </c:pt>
                <c:pt idx="9">
                  <c:v>71</c:v>
                </c:pt>
                <c:pt idx="10">
                  <c:v>70</c:v>
                </c:pt>
                <c:pt idx="11">
                  <c:v>69</c:v>
                </c:pt>
                <c:pt idx="12">
                  <c:v>68</c:v>
                </c:pt>
                <c:pt idx="13">
                  <c:v>67</c:v>
                </c:pt>
                <c:pt idx="14">
                  <c:v>66</c:v>
                </c:pt>
                <c:pt idx="15">
                  <c:v>65</c:v>
                </c:pt>
                <c:pt idx="16">
                  <c:v>64</c:v>
                </c:pt>
                <c:pt idx="17">
                  <c:v>63</c:v>
                </c:pt>
                <c:pt idx="18">
                  <c:v>62</c:v>
                </c:pt>
                <c:pt idx="19">
                  <c:v>61</c:v>
                </c:pt>
                <c:pt idx="20">
                  <c:v>60</c:v>
                </c:pt>
                <c:pt idx="21">
                  <c:v>59</c:v>
                </c:pt>
                <c:pt idx="22">
                  <c:v>58</c:v>
                </c:pt>
                <c:pt idx="23">
                  <c:v>57</c:v>
                </c:pt>
                <c:pt idx="24">
                  <c:v>56</c:v>
                </c:pt>
                <c:pt idx="25">
                  <c:v>55</c:v>
                </c:pt>
                <c:pt idx="26">
                  <c:v>54</c:v>
                </c:pt>
                <c:pt idx="27">
                  <c:v>53</c:v>
                </c:pt>
                <c:pt idx="28">
                  <c:v>52</c:v>
                </c:pt>
                <c:pt idx="29">
                  <c:v>51</c:v>
                </c:pt>
                <c:pt idx="30">
                  <c:v>50</c:v>
                </c:pt>
                <c:pt idx="31">
                  <c:v>49</c:v>
                </c:pt>
                <c:pt idx="32">
                  <c:v>48</c:v>
                </c:pt>
                <c:pt idx="33">
                  <c:v>47</c:v>
                </c:pt>
                <c:pt idx="34">
                  <c:v>46</c:v>
                </c:pt>
                <c:pt idx="35">
                  <c:v>45</c:v>
                </c:pt>
                <c:pt idx="36">
                  <c:v>44</c:v>
                </c:pt>
                <c:pt idx="37">
                  <c:v>43</c:v>
                </c:pt>
                <c:pt idx="38">
                  <c:v>42</c:v>
                </c:pt>
                <c:pt idx="39">
                  <c:v>41</c:v>
                </c:pt>
                <c:pt idx="40">
                  <c:v>40</c:v>
                </c:pt>
                <c:pt idx="41">
                  <c:v>39</c:v>
                </c:pt>
                <c:pt idx="42">
                  <c:v>38</c:v>
                </c:pt>
                <c:pt idx="43">
                  <c:v>37</c:v>
                </c:pt>
                <c:pt idx="44">
                  <c:v>36</c:v>
                </c:pt>
                <c:pt idx="45">
                  <c:v>35</c:v>
                </c:pt>
                <c:pt idx="46">
                  <c:v>34</c:v>
                </c:pt>
                <c:pt idx="47">
                  <c:v>33</c:v>
                </c:pt>
                <c:pt idx="48">
                  <c:v>32</c:v>
                </c:pt>
                <c:pt idx="49">
                  <c:v>31</c:v>
                </c:pt>
                <c:pt idx="50">
                  <c:v>30</c:v>
                </c:pt>
                <c:pt idx="51">
                  <c:v>29</c:v>
                </c:pt>
                <c:pt idx="52">
                  <c:v>28</c:v>
                </c:pt>
                <c:pt idx="53">
                  <c:v>27</c:v>
                </c:pt>
                <c:pt idx="54">
                  <c:v>26</c:v>
                </c:pt>
                <c:pt idx="55">
                  <c:v>25</c:v>
                </c:pt>
                <c:pt idx="56">
                  <c:v>24</c:v>
                </c:pt>
                <c:pt idx="57">
                  <c:v>23</c:v>
                </c:pt>
                <c:pt idx="58">
                  <c:v>22</c:v>
                </c:pt>
                <c:pt idx="59">
                  <c:v>21</c:v>
                </c:pt>
                <c:pt idx="60">
                  <c:v>20</c:v>
                </c:pt>
                <c:pt idx="61">
                  <c:v>19</c:v>
                </c:pt>
                <c:pt idx="62">
                  <c:v>18</c:v>
                </c:pt>
                <c:pt idx="63">
                  <c:v>17</c:v>
                </c:pt>
                <c:pt idx="64">
                  <c:v>16</c:v>
                </c:pt>
                <c:pt idx="65">
                  <c:v>15</c:v>
                </c:pt>
                <c:pt idx="66">
                  <c:v>14</c:v>
                </c:pt>
                <c:pt idx="67">
                  <c:v>13</c:v>
                </c:pt>
                <c:pt idx="68">
                  <c:v>12</c:v>
                </c:pt>
                <c:pt idx="69">
                  <c:v>11</c:v>
                </c:pt>
                <c:pt idx="70">
                  <c:v>10</c:v>
                </c:pt>
                <c:pt idx="71">
                  <c:v>9</c:v>
                </c:pt>
                <c:pt idx="72">
                  <c:v>8</c:v>
                </c:pt>
                <c:pt idx="73">
                  <c:v>7</c:v>
                </c:pt>
                <c:pt idx="74">
                  <c:v>6</c:v>
                </c:pt>
                <c:pt idx="75">
                  <c:v>5</c:v>
                </c:pt>
                <c:pt idx="76">
                  <c:v>4</c:v>
                </c:pt>
                <c:pt idx="77">
                  <c:v>3</c:v>
                </c:pt>
                <c:pt idx="78">
                  <c:v>2</c:v>
                </c:pt>
                <c:pt idx="79">
                  <c:v>1</c:v>
                </c:pt>
                <c:pt idx="80">
                  <c:v>0</c:v>
                </c:pt>
              </c:numCache>
            </c:numRef>
          </c:xVal>
          <c:yVal>
            <c:numRef>
              <c:f>'PL after expiration_options'!$D$13:$D$93</c:f>
              <c:numCache>
                <c:formatCode>#,##0.0</c:formatCode>
                <c:ptCount val="81"/>
                <c:pt idx="0">
                  <c:v>37</c:v>
                </c:pt>
                <c:pt idx="1">
                  <c:v>36</c:v>
                </c:pt>
                <c:pt idx="2">
                  <c:v>35</c:v>
                </c:pt>
                <c:pt idx="3">
                  <c:v>34</c:v>
                </c:pt>
                <c:pt idx="4">
                  <c:v>33</c:v>
                </c:pt>
                <c:pt idx="5">
                  <c:v>32</c:v>
                </c:pt>
                <c:pt idx="6">
                  <c:v>31</c:v>
                </c:pt>
                <c:pt idx="7">
                  <c:v>30</c:v>
                </c:pt>
                <c:pt idx="8">
                  <c:v>29</c:v>
                </c:pt>
                <c:pt idx="9">
                  <c:v>28</c:v>
                </c:pt>
                <c:pt idx="10">
                  <c:v>27</c:v>
                </c:pt>
                <c:pt idx="11">
                  <c:v>26</c:v>
                </c:pt>
                <c:pt idx="12">
                  <c:v>25</c:v>
                </c:pt>
                <c:pt idx="13">
                  <c:v>24</c:v>
                </c:pt>
                <c:pt idx="14">
                  <c:v>23</c:v>
                </c:pt>
                <c:pt idx="15">
                  <c:v>22</c:v>
                </c:pt>
                <c:pt idx="16">
                  <c:v>21</c:v>
                </c:pt>
                <c:pt idx="17">
                  <c:v>20</c:v>
                </c:pt>
                <c:pt idx="18">
                  <c:v>19</c:v>
                </c:pt>
                <c:pt idx="19">
                  <c:v>18</c:v>
                </c:pt>
                <c:pt idx="20">
                  <c:v>17</c:v>
                </c:pt>
                <c:pt idx="21">
                  <c:v>16</c:v>
                </c:pt>
                <c:pt idx="22">
                  <c:v>15</c:v>
                </c:pt>
                <c:pt idx="23">
                  <c:v>14</c:v>
                </c:pt>
                <c:pt idx="24">
                  <c:v>13</c:v>
                </c:pt>
                <c:pt idx="25">
                  <c:v>12</c:v>
                </c:pt>
                <c:pt idx="26">
                  <c:v>11</c:v>
                </c:pt>
                <c:pt idx="27">
                  <c:v>10</c:v>
                </c:pt>
                <c:pt idx="28">
                  <c:v>9</c:v>
                </c:pt>
                <c:pt idx="29">
                  <c:v>8</c:v>
                </c:pt>
                <c:pt idx="30">
                  <c:v>7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0</c:v>
                </c:pt>
                <c:pt idx="38">
                  <c:v>-1</c:v>
                </c:pt>
                <c:pt idx="39">
                  <c:v>-2</c:v>
                </c:pt>
                <c:pt idx="40">
                  <c:v>-3</c:v>
                </c:pt>
                <c:pt idx="41">
                  <c:v>-3</c:v>
                </c:pt>
                <c:pt idx="42">
                  <c:v>-3</c:v>
                </c:pt>
                <c:pt idx="43">
                  <c:v>-3</c:v>
                </c:pt>
                <c:pt idx="44">
                  <c:v>-3</c:v>
                </c:pt>
                <c:pt idx="45">
                  <c:v>-3</c:v>
                </c:pt>
                <c:pt idx="46">
                  <c:v>-3</c:v>
                </c:pt>
                <c:pt idx="47">
                  <c:v>-3</c:v>
                </c:pt>
                <c:pt idx="48">
                  <c:v>-3</c:v>
                </c:pt>
                <c:pt idx="49">
                  <c:v>-3</c:v>
                </c:pt>
                <c:pt idx="50">
                  <c:v>-3</c:v>
                </c:pt>
                <c:pt idx="51">
                  <c:v>-3</c:v>
                </c:pt>
                <c:pt idx="52">
                  <c:v>-3</c:v>
                </c:pt>
                <c:pt idx="53">
                  <c:v>-3</c:v>
                </c:pt>
                <c:pt idx="54">
                  <c:v>-3</c:v>
                </c:pt>
                <c:pt idx="55">
                  <c:v>-3</c:v>
                </c:pt>
                <c:pt idx="56">
                  <c:v>-3</c:v>
                </c:pt>
                <c:pt idx="57">
                  <c:v>-3</c:v>
                </c:pt>
                <c:pt idx="58">
                  <c:v>-3</c:v>
                </c:pt>
                <c:pt idx="59">
                  <c:v>-3</c:v>
                </c:pt>
                <c:pt idx="60">
                  <c:v>-3</c:v>
                </c:pt>
                <c:pt idx="61">
                  <c:v>-3</c:v>
                </c:pt>
                <c:pt idx="62">
                  <c:v>-3</c:v>
                </c:pt>
                <c:pt idx="63">
                  <c:v>-3</c:v>
                </c:pt>
                <c:pt idx="64">
                  <c:v>-3</c:v>
                </c:pt>
                <c:pt idx="65">
                  <c:v>-3</c:v>
                </c:pt>
                <c:pt idx="66">
                  <c:v>-3</c:v>
                </c:pt>
                <c:pt idx="67">
                  <c:v>-3</c:v>
                </c:pt>
                <c:pt idx="68">
                  <c:v>-3</c:v>
                </c:pt>
                <c:pt idx="69">
                  <c:v>-3</c:v>
                </c:pt>
                <c:pt idx="70">
                  <c:v>-3</c:v>
                </c:pt>
                <c:pt idx="71">
                  <c:v>-3</c:v>
                </c:pt>
                <c:pt idx="72">
                  <c:v>-3</c:v>
                </c:pt>
                <c:pt idx="73">
                  <c:v>-3</c:v>
                </c:pt>
                <c:pt idx="74">
                  <c:v>-3</c:v>
                </c:pt>
                <c:pt idx="75">
                  <c:v>-3</c:v>
                </c:pt>
                <c:pt idx="76">
                  <c:v>-3</c:v>
                </c:pt>
                <c:pt idx="77">
                  <c:v>-3</c:v>
                </c:pt>
                <c:pt idx="78">
                  <c:v>-3</c:v>
                </c:pt>
                <c:pt idx="79">
                  <c:v>-3</c:v>
                </c:pt>
                <c:pt idx="80">
                  <c:v>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B2-4471-BAFE-FBEC5C2FF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861296"/>
        <c:axId val="1475861624"/>
      </c:scatterChart>
      <c:valAx>
        <c:axId val="147586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75861624"/>
        <c:crosses val="autoZero"/>
        <c:crossBetween val="midCat"/>
      </c:valAx>
      <c:valAx>
        <c:axId val="147586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75861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'PL after expiration_options'!$AH$12</c:f>
              <c:strCache>
                <c:ptCount val="1"/>
                <c:pt idx="0">
                  <c:v>PL at settlement combined option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'PL after expiration_options'!$C$13:$C$93</c:f>
              <c:numCache>
                <c:formatCode>#,##0.0000</c:formatCode>
                <c:ptCount val="81"/>
                <c:pt idx="0">
                  <c:v>80</c:v>
                </c:pt>
                <c:pt idx="1">
                  <c:v>79</c:v>
                </c:pt>
                <c:pt idx="2">
                  <c:v>78</c:v>
                </c:pt>
                <c:pt idx="3">
                  <c:v>77</c:v>
                </c:pt>
                <c:pt idx="4">
                  <c:v>76</c:v>
                </c:pt>
                <c:pt idx="5">
                  <c:v>75</c:v>
                </c:pt>
                <c:pt idx="6">
                  <c:v>74</c:v>
                </c:pt>
                <c:pt idx="7">
                  <c:v>73</c:v>
                </c:pt>
                <c:pt idx="8">
                  <c:v>72</c:v>
                </c:pt>
                <c:pt idx="9">
                  <c:v>71</c:v>
                </c:pt>
                <c:pt idx="10">
                  <c:v>70</c:v>
                </c:pt>
                <c:pt idx="11">
                  <c:v>69</c:v>
                </c:pt>
                <c:pt idx="12">
                  <c:v>68</c:v>
                </c:pt>
                <c:pt idx="13">
                  <c:v>67</c:v>
                </c:pt>
                <c:pt idx="14">
                  <c:v>66</c:v>
                </c:pt>
                <c:pt idx="15">
                  <c:v>65</c:v>
                </c:pt>
                <c:pt idx="16">
                  <c:v>64</c:v>
                </c:pt>
                <c:pt idx="17">
                  <c:v>63</c:v>
                </c:pt>
                <c:pt idx="18">
                  <c:v>62</c:v>
                </c:pt>
                <c:pt idx="19">
                  <c:v>61</c:v>
                </c:pt>
                <c:pt idx="20">
                  <c:v>60</c:v>
                </c:pt>
                <c:pt idx="21">
                  <c:v>59</c:v>
                </c:pt>
                <c:pt idx="22">
                  <c:v>58</c:v>
                </c:pt>
                <c:pt idx="23">
                  <c:v>57</c:v>
                </c:pt>
                <c:pt idx="24">
                  <c:v>56</c:v>
                </c:pt>
                <c:pt idx="25">
                  <c:v>55</c:v>
                </c:pt>
                <c:pt idx="26">
                  <c:v>54</c:v>
                </c:pt>
                <c:pt idx="27">
                  <c:v>53</c:v>
                </c:pt>
                <c:pt idx="28">
                  <c:v>52</c:v>
                </c:pt>
                <c:pt idx="29">
                  <c:v>51</c:v>
                </c:pt>
                <c:pt idx="30">
                  <c:v>50</c:v>
                </c:pt>
                <c:pt idx="31">
                  <c:v>49</c:v>
                </c:pt>
                <c:pt idx="32">
                  <c:v>48</c:v>
                </c:pt>
                <c:pt idx="33">
                  <c:v>47</c:v>
                </c:pt>
                <c:pt idx="34">
                  <c:v>46</c:v>
                </c:pt>
                <c:pt idx="35">
                  <c:v>45</c:v>
                </c:pt>
                <c:pt idx="36">
                  <c:v>44</c:v>
                </c:pt>
                <c:pt idx="37">
                  <c:v>43</c:v>
                </c:pt>
                <c:pt idx="38">
                  <c:v>42</c:v>
                </c:pt>
                <c:pt idx="39">
                  <c:v>41</c:v>
                </c:pt>
                <c:pt idx="40">
                  <c:v>40</c:v>
                </c:pt>
                <c:pt idx="41">
                  <c:v>39</c:v>
                </c:pt>
                <c:pt idx="42">
                  <c:v>38</c:v>
                </c:pt>
                <c:pt idx="43">
                  <c:v>37</c:v>
                </c:pt>
                <c:pt idx="44">
                  <c:v>36</c:v>
                </c:pt>
                <c:pt idx="45">
                  <c:v>35</c:v>
                </c:pt>
                <c:pt idx="46">
                  <c:v>34</c:v>
                </c:pt>
                <c:pt idx="47">
                  <c:v>33</c:v>
                </c:pt>
                <c:pt idx="48">
                  <c:v>32</c:v>
                </c:pt>
                <c:pt idx="49">
                  <c:v>31</c:v>
                </c:pt>
                <c:pt idx="50">
                  <c:v>30</c:v>
                </c:pt>
                <c:pt idx="51">
                  <c:v>29</c:v>
                </c:pt>
                <c:pt idx="52">
                  <c:v>28</c:v>
                </c:pt>
                <c:pt idx="53">
                  <c:v>27</c:v>
                </c:pt>
                <c:pt idx="54">
                  <c:v>26</c:v>
                </c:pt>
                <c:pt idx="55">
                  <c:v>25</c:v>
                </c:pt>
                <c:pt idx="56">
                  <c:v>24</c:v>
                </c:pt>
                <c:pt idx="57">
                  <c:v>23</c:v>
                </c:pt>
                <c:pt idx="58">
                  <c:v>22</c:v>
                </c:pt>
                <c:pt idx="59">
                  <c:v>21</c:v>
                </c:pt>
                <c:pt idx="60">
                  <c:v>20</c:v>
                </c:pt>
                <c:pt idx="61">
                  <c:v>19</c:v>
                </c:pt>
                <c:pt idx="62">
                  <c:v>18</c:v>
                </c:pt>
                <c:pt idx="63">
                  <c:v>17</c:v>
                </c:pt>
                <c:pt idx="64">
                  <c:v>16</c:v>
                </c:pt>
                <c:pt idx="65">
                  <c:v>15</c:v>
                </c:pt>
                <c:pt idx="66">
                  <c:v>14</c:v>
                </c:pt>
                <c:pt idx="67">
                  <c:v>13</c:v>
                </c:pt>
                <c:pt idx="68">
                  <c:v>12</c:v>
                </c:pt>
                <c:pt idx="69">
                  <c:v>11</c:v>
                </c:pt>
                <c:pt idx="70">
                  <c:v>10</c:v>
                </c:pt>
                <c:pt idx="71">
                  <c:v>9</c:v>
                </c:pt>
                <c:pt idx="72">
                  <c:v>8</c:v>
                </c:pt>
                <c:pt idx="73">
                  <c:v>7</c:v>
                </c:pt>
                <c:pt idx="74">
                  <c:v>6</c:v>
                </c:pt>
                <c:pt idx="75">
                  <c:v>5</c:v>
                </c:pt>
                <c:pt idx="76">
                  <c:v>4</c:v>
                </c:pt>
                <c:pt idx="77">
                  <c:v>3</c:v>
                </c:pt>
                <c:pt idx="78">
                  <c:v>2</c:v>
                </c:pt>
                <c:pt idx="79">
                  <c:v>1</c:v>
                </c:pt>
                <c:pt idx="80">
                  <c:v>0</c:v>
                </c:pt>
              </c:numCache>
            </c:numRef>
          </c:xVal>
          <c:yVal>
            <c:numRef>
              <c:f>'PL after expiration_options'!$AH$13:$AH$93</c:f>
              <c:numCache>
                <c:formatCode>#,##0.0</c:formatCode>
                <c:ptCount val="81"/>
                <c:pt idx="0">
                  <c:v>40</c:v>
                </c:pt>
                <c:pt idx="1">
                  <c:v>39</c:v>
                </c:pt>
                <c:pt idx="2">
                  <c:v>38</c:v>
                </c:pt>
                <c:pt idx="3">
                  <c:v>37</c:v>
                </c:pt>
                <c:pt idx="4">
                  <c:v>36</c:v>
                </c:pt>
                <c:pt idx="5">
                  <c:v>35</c:v>
                </c:pt>
                <c:pt idx="6">
                  <c:v>34</c:v>
                </c:pt>
                <c:pt idx="7">
                  <c:v>33</c:v>
                </c:pt>
                <c:pt idx="8">
                  <c:v>32</c:v>
                </c:pt>
                <c:pt idx="9">
                  <c:v>31</c:v>
                </c:pt>
                <c:pt idx="10">
                  <c:v>30</c:v>
                </c:pt>
                <c:pt idx="11">
                  <c:v>29</c:v>
                </c:pt>
                <c:pt idx="12">
                  <c:v>28</c:v>
                </c:pt>
                <c:pt idx="13">
                  <c:v>27</c:v>
                </c:pt>
                <c:pt idx="14">
                  <c:v>26</c:v>
                </c:pt>
                <c:pt idx="15">
                  <c:v>25</c:v>
                </c:pt>
                <c:pt idx="16">
                  <c:v>24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20</c:v>
                </c:pt>
                <c:pt idx="21">
                  <c:v>19</c:v>
                </c:pt>
                <c:pt idx="22">
                  <c:v>18</c:v>
                </c:pt>
                <c:pt idx="23">
                  <c:v>17</c:v>
                </c:pt>
                <c:pt idx="24">
                  <c:v>16</c:v>
                </c:pt>
                <c:pt idx="25">
                  <c:v>15</c:v>
                </c:pt>
                <c:pt idx="26">
                  <c:v>14</c:v>
                </c:pt>
                <c:pt idx="27">
                  <c:v>13</c:v>
                </c:pt>
                <c:pt idx="28">
                  <c:v>12</c:v>
                </c:pt>
                <c:pt idx="29">
                  <c:v>11</c:v>
                </c:pt>
                <c:pt idx="30">
                  <c:v>10</c:v>
                </c:pt>
                <c:pt idx="31">
                  <c:v>9</c:v>
                </c:pt>
                <c:pt idx="32">
                  <c:v>8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-1</c:v>
                </c:pt>
                <c:pt idx="42">
                  <c:v>-2</c:v>
                </c:pt>
                <c:pt idx="43">
                  <c:v>-3</c:v>
                </c:pt>
                <c:pt idx="44">
                  <c:v>-4</c:v>
                </c:pt>
                <c:pt idx="45">
                  <c:v>-5</c:v>
                </c:pt>
                <c:pt idx="46">
                  <c:v>-6</c:v>
                </c:pt>
                <c:pt idx="47">
                  <c:v>-7</c:v>
                </c:pt>
                <c:pt idx="48">
                  <c:v>-8</c:v>
                </c:pt>
                <c:pt idx="49">
                  <c:v>-9</c:v>
                </c:pt>
                <c:pt idx="50">
                  <c:v>-10</c:v>
                </c:pt>
                <c:pt idx="51">
                  <c:v>-11</c:v>
                </c:pt>
                <c:pt idx="52">
                  <c:v>-12</c:v>
                </c:pt>
                <c:pt idx="53">
                  <c:v>-13</c:v>
                </c:pt>
                <c:pt idx="54">
                  <c:v>-14</c:v>
                </c:pt>
                <c:pt idx="55">
                  <c:v>-15</c:v>
                </c:pt>
                <c:pt idx="56">
                  <c:v>-16</c:v>
                </c:pt>
                <c:pt idx="57">
                  <c:v>-17</c:v>
                </c:pt>
                <c:pt idx="58">
                  <c:v>-18</c:v>
                </c:pt>
                <c:pt idx="59">
                  <c:v>-19</c:v>
                </c:pt>
                <c:pt idx="60">
                  <c:v>-20</c:v>
                </c:pt>
                <c:pt idx="61">
                  <c:v>-21</c:v>
                </c:pt>
                <c:pt idx="62">
                  <c:v>-22</c:v>
                </c:pt>
                <c:pt idx="63">
                  <c:v>-23</c:v>
                </c:pt>
                <c:pt idx="64">
                  <c:v>-24</c:v>
                </c:pt>
                <c:pt idx="65">
                  <c:v>-25</c:v>
                </c:pt>
                <c:pt idx="66">
                  <c:v>-26</c:v>
                </c:pt>
                <c:pt idx="67">
                  <c:v>-27</c:v>
                </c:pt>
                <c:pt idx="68">
                  <c:v>-28</c:v>
                </c:pt>
                <c:pt idx="69">
                  <c:v>-29</c:v>
                </c:pt>
                <c:pt idx="70">
                  <c:v>-30</c:v>
                </c:pt>
                <c:pt idx="71">
                  <c:v>-31</c:v>
                </c:pt>
                <c:pt idx="72">
                  <c:v>-32</c:v>
                </c:pt>
                <c:pt idx="73">
                  <c:v>-33</c:v>
                </c:pt>
                <c:pt idx="74">
                  <c:v>-34</c:v>
                </c:pt>
                <c:pt idx="75">
                  <c:v>-35</c:v>
                </c:pt>
                <c:pt idx="76">
                  <c:v>-36</c:v>
                </c:pt>
                <c:pt idx="77">
                  <c:v>-37</c:v>
                </c:pt>
                <c:pt idx="78">
                  <c:v>-38</c:v>
                </c:pt>
                <c:pt idx="79">
                  <c:v>-39</c:v>
                </c:pt>
                <c:pt idx="80">
                  <c:v>-40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1F-440A-A347-F420DC855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861296"/>
        <c:axId val="1475861624"/>
      </c:scatterChart>
      <c:valAx>
        <c:axId val="147586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75861624"/>
        <c:crosses val="autoZero"/>
        <c:crossBetween val="midCat"/>
      </c:valAx>
      <c:valAx>
        <c:axId val="147586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475861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Delta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FV_option_BlackSholes!$G$5:$G$25</c:f>
              <c:numCache>
                <c:formatCode>General</c:formatCode>
                <c:ptCount val="2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</c:numCache>
            </c:numRef>
          </c:cat>
          <c:val>
            <c:numRef>
              <c:f>FV_option_BlackSholes!$O$5:$O$25</c:f>
              <c:numCache>
                <c:formatCode>_(* #,##0.0000_);_(* \(#,##0.0000\);_(* "-"??_);_(@_)</c:formatCode>
                <c:ptCount val="21"/>
                <c:pt idx="0">
                  <c:v>9.6859152861469023E-7</c:v>
                </c:pt>
                <c:pt idx="1">
                  <c:v>2.1950815799503649E-5</c:v>
                </c:pt>
                <c:pt idx="2">
                  <c:v>2.5958923822603022E-4</c:v>
                </c:pt>
                <c:pt idx="3">
                  <c:v>1.8381798217257076E-3</c:v>
                </c:pt>
                <c:pt idx="4">
                  <c:v>8.6410298124148851E-3</c:v>
                </c:pt>
                <c:pt idx="5">
                  <c:v>2.9192363085745514E-2</c:v>
                </c:pt>
                <c:pt idx="6">
                  <c:v>7.5438329214875352E-2</c:v>
                </c:pt>
                <c:pt idx="7">
                  <c:v>0.15678460280121978</c:v>
                </c:pt>
                <c:pt idx="8">
                  <c:v>0.27305813322768774</c:v>
                </c:pt>
                <c:pt idx="9">
                  <c:v>0.41243837613466122</c:v>
                </c:pt>
                <c:pt idx="10">
                  <c:v>0.55623145800914253</c:v>
                </c:pt>
                <c:pt idx="11">
                  <c:v>0.68666526347543833</c:v>
                </c:pt>
                <c:pt idx="12">
                  <c:v>0.79256860877545754</c:v>
                </c:pt>
                <c:pt idx="13">
                  <c:v>0.87069604286244628</c:v>
                </c:pt>
                <c:pt idx="14">
                  <c:v>0.92373177845348309</c:v>
                </c:pt>
                <c:pt idx="15">
                  <c:v>0.95721871313140183</c:v>
                </c:pt>
                <c:pt idx="16">
                  <c:v>0.97706659013874686</c:v>
                </c:pt>
                <c:pt idx="17">
                  <c:v>0.98819698134835854</c:v>
                </c:pt>
                <c:pt idx="18">
                  <c:v>0.99414290786802351</c:v>
                </c:pt>
                <c:pt idx="19">
                  <c:v>0.99718660416416893</c:v>
                </c:pt>
                <c:pt idx="20">
                  <c:v>0.99868726415477449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E-4355-987A-A805136E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885672"/>
        <c:axId val="198886000"/>
      </c:lineChart>
      <c:catAx>
        <c:axId val="19888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8886000"/>
        <c:crosses val="autoZero"/>
        <c:auto val="1"/>
        <c:lblAlgn val="ctr"/>
        <c:lblOffset val="100"/>
        <c:noMultiLvlLbl val="0"/>
      </c:catAx>
      <c:valAx>
        <c:axId val="19888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8885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Gamma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FV_option_BlackSholes!$G$5:$G$25</c:f>
              <c:numCache>
                <c:formatCode>General</c:formatCode>
                <c:ptCount val="2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</c:numCache>
            </c:numRef>
          </c:cat>
          <c:val>
            <c:numRef>
              <c:f>FV_option_BlackSholes!$P$5:$P$25</c:f>
              <c:numCache>
                <c:formatCode>_(* #,##0.000_);_(* \(#,##0.000\);_(* "-"??_);_(@_)</c:formatCode>
                <c:ptCount val="21"/>
                <c:pt idx="0">
                  <c:v>6.7867178697506155E-7</c:v>
                </c:pt>
                <c:pt idx="1">
                  <c:v>1.2156455629159708E-5</c:v>
                </c:pt>
                <c:pt idx="2">
                  <c:v>1.1391973729577773E-4</c:v>
                </c:pt>
                <c:pt idx="3">
                  <c:v>6.3882538475654844E-4</c:v>
                </c:pt>
                <c:pt idx="4">
                  <c:v>2.3692715843692943E-3</c:v>
                </c:pt>
                <c:pt idx="5">
                  <c:v>6.2713888491247993E-3</c:v>
                </c:pt>
                <c:pt idx="6">
                  <c:v>1.2567562036089662E-2</c:v>
                </c:pt>
                <c:pt idx="7">
                  <c:v>1.9973089856499992E-2</c:v>
                </c:pt>
                <c:pt idx="8">
                  <c:v>2.6124096797086768E-2</c:v>
                </c:pt>
                <c:pt idx="9">
                  <c:v>2.8976049227637444E-2</c:v>
                </c:pt>
                <c:pt idx="10">
                  <c:v>2.7928790169723425E-2</c:v>
                </c:pt>
                <c:pt idx="11">
                  <c:v>2.3868646390298731E-2</c:v>
                </c:pt>
                <c:pt idx="12">
                  <c:v>1.8392389106658354E-2</c:v>
                </c:pt>
                <c:pt idx="13">
                  <c:v>1.2959111925913936E-2</c:v>
                </c:pt>
                <c:pt idx="14">
                  <c:v>8.4484770733593822E-3</c:v>
                </c:pt>
                <c:pt idx="15">
                  <c:v>5.1476734099823191E-3</c:v>
                </c:pt>
                <c:pt idx="16">
                  <c:v>2.9566425527117342E-3</c:v>
                </c:pt>
                <c:pt idx="17">
                  <c:v>1.6126514977348233E-3</c:v>
                </c:pt>
                <c:pt idx="18">
                  <c:v>8.4061159636722503E-4</c:v>
                </c:pt>
                <c:pt idx="19">
                  <c:v>4.210700952700327E-4</c:v>
                </c:pt>
                <c:pt idx="20">
                  <c:v>2.036564036398534E-4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CF-4F3D-AF16-B50961FF0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885672"/>
        <c:axId val="198886000"/>
      </c:lineChart>
      <c:catAx>
        <c:axId val="19888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8886000"/>
        <c:crosses val="autoZero"/>
        <c:auto val="1"/>
        <c:lblAlgn val="ctr"/>
        <c:lblOffset val="100"/>
        <c:noMultiLvlLbl val="0"/>
      </c:catAx>
      <c:valAx>
        <c:axId val="19888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_);_(* \(#,##0.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888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FV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FV_option_BlackSholes!$G$5:$G$25</c:f>
              <c:numCache>
                <c:formatCode>General</c:formatCode>
                <c:ptCount val="2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  <c:pt idx="11">
                  <c:v>105</c:v>
                </c:pt>
                <c:pt idx="12">
                  <c:v>110</c:v>
                </c:pt>
                <c:pt idx="13">
                  <c:v>115</c:v>
                </c:pt>
                <c:pt idx="14">
                  <c:v>120</c:v>
                </c:pt>
                <c:pt idx="15">
                  <c:v>125</c:v>
                </c:pt>
                <c:pt idx="16">
                  <c:v>130</c:v>
                </c:pt>
                <c:pt idx="17">
                  <c:v>135</c:v>
                </c:pt>
                <c:pt idx="18">
                  <c:v>140</c:v>
                </c:pt>
                <c:pt idx="19">
                  <c:v>145</c:v>
                </c:pt>
                <c:pt idx="20">
                  <c:v>150</c:v>
                </c:pt>
              </c:numCache>
            </c:numRef>
          </c:cat>
          <c:val>
            <c:numRef>
              <c:f>FV_option_BlackSholes!$N$5:$N$25</c:f>
              <c:numCache>
                <c:formatCode>_(* #,##0.000_);_(* \(#,##0.000\);_(* "-"??_);_(@_)</c:formatCode>
                <c:ptCount val="21"/>
                <c:pt idx="0">
                  <c:v>18.879347185273232</c:v>
                </c:pt>
                <c:pt idx="1">
                  <c:v>16.379382626005714</c:v>
                </c:pt>
                <c:pt idx="2">
                  <c:v>13.879884970599981</c:v>
                </c:pt>
                <c:pt idx="3">
                  <c:v>11.384063765925003</c:v>
                </c:pt>
                <c:pt idx="4">
                  <c:v>8.9066942388080541</c:v>
                </c:pt>
                <c:pt idx="5">
                  <c:v>6.4931596252697439</c:v>
                </c:pt>
                <c:pt idx="6">
                  <c:v>4.2415729720972886</c:v>
                </c:pt>
                <c:pt idx="7">
                  <c:v>2.3066139759659592</c:v>
                </c:pt>
                <c:pt idx="8">
                  <c:v>0.86833053924912917</c:v>
                </c:pt>
                <c:pt idx="9">
                  <c:v>7.6109474952922085E-2</c:v>
                </c:pt>
                <c:pt idx="10">
                  <c:v>0</c:v>
                </c:pt>
                <c:pt idx="11">
                  <c:v>0.61575930730003847</c:v>
                </c:pt>
                <c:pt idx="12">
                  <c:v>1.8253051471990531</c:v>
                </c:pt>
                <c:pt idx="13">
                  <c:v>3.4948165566148859</c:v>
                </c:pt>
                <c:pt idx="14">
                  <c:v>5.4902923586081371</c:v>
                </c:pt>
                <c:pt idx="15">
                  <c:v>7.6995409046894636</c:v>
                </c:pt>
                <c:pt idx="16">
                  <c:v>10.039809129470875</c:v>
                </c:pt>
                <c:pt idx="17">
                  <c:v>12.455758253178537</c:v>
                </c:pt>
                <c:pt idx="18">
                  <c:v>14.913208739771143</c:v>
                </c:pt>
                <c:pt idx="19">
                  <c:v>17.392401396612023</c:v>
                </c:pt>
                <c:pt idx="20">
                  <c:v>19.882535858235975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8-4023-A000-85ED47835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885672"/>
        <c:axId val="198886000"/>
      </c:lineChart>
      <c:catAx>
        <c:axId val="19888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8886000"/>
        <c:crosses val="autoZero"/>
        <c:auto val="1"/>
        <c:lblAlgn val="ctr"/>
        <c:lblOffset val="100"/>
        <c:noMultiLvlLbl val="0"/>
      </c:catAx>
      <c:valAx>
        <c:axId val="19888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_);_(* \(#,##0.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8885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Vega</a:t>
            </a: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FV_option_BlackSholes!$G$32:$G$65</c:f>
              <c:numCache>
                <c:formatCode>0.00%</c:formatCode>
                <c:ptCount val="34"/>
                <c:pt idx="0" formatCode="0%">
                  <c:v>0.01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0.13</c:v>
                </c:pt>
                <c:pt idx="5">
                  <c:v>0.16</c:v>
                </c:pt>
                <c:pt idx="6">
                  <c:v>0.19</c:v>
                </c:pt>
                <c:pt idx="7" formatCode="0.0%">
                  <c:v>0.2</c:v>
                </c:pt>
                <c:pt idx="8">
                  <c:v>0.23</c:v>
                </c:pt>
                <c:pt idx="9">
                  <c:v>0.26</c:v>
                </c:pt>
                <c:pt idx="10">
                  <c:v>0.29000000000000004</c:v>
                </c:pt>
                <c:pt idx="11">
                  <c:v>0.32000000000000006</c:v>
                </c:pt>
                <c:pt idx="12">
                  <c:v>0.35000000000000009</c:v>
                </c:pt>
                <c:pt idx="13">
                  <c:v>0.38000000000000012</c:v>
                </c:pt>
                <c:pt idx="14">
                  <c:v>0.41000000000000014</c:v>
                </c:pt>
                <c:pt idx="15">
                  <c:v>0.44000000000000017</c:v>
                </c:pt>
                <c:pt idx="16">
                  <c:v>0.4700000000000002</c:v>
                </c:pt>
                <c:pt idx="17">
                  <c:v>0.50000000000000022</c:v>
                </c:pt>
                <c:pt idx="18">
                  <c:v>0.53000000000000025</c:v>
                </c:pt>
                <c:pt idx="19">
                  <c:v>0.56000000000000028</c:v>
                </c:pt>
                <c:pt idx="20">
                  <c:v>0.5900000000000003</c:v>
                </c:pt>
                <c:pt idx="21">
                  <c:v>0.62000000000000033</c:v>
                </c:pt>
                <c:pt idx="22">
                  <c:v>0.65000000000000036</c:v>
                </c:pt>
                <c:pt idx="23">
                  <c:v>0.68000000000000038</c:v>
                </c:pt>
                <c:pt idx="24">
                  <c:v>0.71000000000000041</c:v>
                </c:pt>
                <c:pt idx="25">
                  <c:v>0.74000000000000044</c:v>
                </c:pt>
                <c:pt idx="26">
                  <c:v>0.77000000000000046</c:v>
                </c:pt>
                <c:pt idx="27">
                  <c:v>0.80000000000000049</c:v>
                </c:pt>
                <c:pt idx="28">
                  <c:v>0.83000000000000052</c:v>
                </c:pt>
                <c:pt idx="29">
                  <c:v>0.86000000000000054</c:v>
                </c:pt>
                <c:pt idx="30">
                  <c:v>0.89000000000000057</c:v>
                </c:pt>
                <c:pt idx="31">
                  <c:v>0.9200000000000006</c:v>
                </c:pt>
                <c:pt idx="32">
                  <c:v>0.95000000000000062</c:v>
                </c:pt>
                <c:pt idx="33">
                  <c:v>0.98000000000000065</c:v>
                </c:pt>
              </c:numCache>
            </c:numRef>
          </c:cat>
          <c:val>
            <c:numRef>
              <c:f>FV_option_BlackSholes!$M$32:$M$65</c:f>
              <c:numCache>
                <c:formatCode>_(* #,##0.000_);_(* \(#,##0.000\);_(* "-"??_);_(@_)</c:formatCode>
                <c:ptCount val="34"/>
                <c:pt idx="0">
                  <c:v>2.0222839457792979E-3</c:v>
                </c:pt>
                <c:pt idx="1">
                  <c:v>8.0716256530832722E-3</c:v>
                </c:pt>
                <c:pt idx="2">
                  <c:v>1.4057816238974894E-2</c:v>
                </c:pt>
                <c:pt idx="3">
                  <c:v>1.9933077419615371E-2</c:v>
                </c:pt>
                <c:pt idx="4">
                  <c:v>2.5649009069237064E-2</c:v>
                </c:pt>
                <c:pt idx="5">
                  <c:v>3.1156444579351628E-2</c:v>
                </c:pt>
                <c:pt idx="6">
                  <c:v>3.6405433520332188E-2</c:v>
                </c:pt>
                <c:pt idx="7">
                  <c:v>3.8088933130152498E-2</c:v>
                </c:pt>
                <c:pt idx="8">
                  <c:v>4.2914566532521445E-2</c:v>
                </c:pt>
                <c:pt idx="9">
                  <c:v>4.7363335061960291E-2</c:v>
                </c:pt>
                <c:pt idx="10">
                  <c:v>5.1384860047365269E-2</c:v>
                </c:pt>
                <c:pt idx="11">
                  <c:v>5.4930140104174748E-2</c:v>
                </c:pt>
                <c:pt idx="12">
                  <c:v>5.7952676868869728E-2</c:v>
                </c:pt>
                <c:pt idx="13">
                  <c:v>6.0409835685130392E-2</c:v>
                </c:pt>
                <c:pt idx="14">
                  <c:v>6.2264411758462528E-2</c:v>
                </c:pt>
                <c:pt idx="15">
                  <c:v>6.3486351209627978E-2</c:v>
                </c:pt>
                <c:pt idx="16">
                  <c:v>6.4054553416816096E-2</c:v>
                </c:pt>
                <c:pt idx="17">
                  <c:v>6.395865757172535E-2</c:v>
                </c:pt>
                <c:pt idx="18">
                  <c:v>6.320069465771766E-2</c:v>
                </c:pt>
                <c:pt idx="19">
                  <c:v>6.1796468853906002E-2</c:v>
                </c:pt>
                <c:pt idx="20">
                  <c:v>5.9776522869333062E-2</c:v>
                </c:pt>
                <c:pt idx="21">
                  <c:v>5.7186543230356421E-2</c:v>
                </c:pt>
                <c:pt idx="22">
                  <c:v>5.4087077069323197E-2</c:v>
                </c:pt>
                <c:pt idx="23">
                  <c:v>5.0552463583737821E-2</c:v>
                </c:pt>
                <c:pt idx="24">
                  <c:v>4.6668931612446035E-2</c:v>
                </c:pt>
                <c:pt idx="25">
                  <c:v>4.2531878142843718E-2</c:v>
                </c:pt>
                <c:pt idx="26">
                  <c:v>3.8242416904214233E-2</c:v>
                </c:pt>
                <c:pt idx="27">
                  <c:v>3.3903364749203309E-2</c:v>
                </c:pt>
                <c:pt idx="28">
                  <c:v>2.96149072214625E-2</c:v>
                </c:pt>
                <c:pt idx="29">
                  <c:v>2.5470243117250109E-2</c:v>
                </c:pt>
                <c:pt idx="30">
                  <c:v>2.1551540601828206E-2</c:v>
                </c:pt>
                <c:pt idx="31">
                  <c:v>1.7926536060710058E-2</c:v>
                </c:pt>
                <c:pt idx="32">
                  <c:v>1.464606668720096E-2</c:v>
                </c:pt>
                <c:pt idx="33">
                  <c:v>1.1742749583240047E-2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78-4D84-844D-7E3934BE0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885672"/>
        <c:axId val="198886000"/>
      </c:lineChart>
      <c:catAx>
        <c:axId val="1988856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8886000"/>
        <c:crosses val="autoZero"/>
        <c:auto val="1"/>
        <c:lblAlgn val="ctr"/>
        <c:lblOffset val="100"/>
        <c:noMultiLvlLbl val="0"/>
      </c:catAx>
      <c:valAx>
        <c:axId val="19888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_);_(* \(#,##0.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19888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://663C3E86BAEA6D0EAD0637FABA766E15.dms.sberbank.ru/663C3E86BAEA6D0EAD0637FABA766E15-A3706015402A346BAE2C7E4161CEDD42-A9A74833DB22D58F1EAC0A81F51FB392/1.png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663C3E86BAEA6D0EAD0637FABA766E15.dms.sberbank.ru/663C3E86BAEA6D0EAD0637FABA766E15-A3706015402A346BAE2C7E4161CEDD42-A9A74833DB22D58F1EAC0A81F51FB392/1.pn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http://663C3E86BAEA6D0EAD0637FABA766E15.dms.sberbank.ru/663C3E86BAEA6D0EAD0637FABA766E15-A3706015402A346BAE2C7E4161CEDD42-A9A74833DB22D58F1EAC0A81F51FB392/1.png" TargetMode="Externa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image" Target="http://248A2A0D496E8C2F106311C4CAD7B33C.dms.sberbank.ru/248A2A0D496E8C2F106311C4CAD7B33C-A3706015402A346BAE2C7E4161CEDD42-632B160382C66AFF3704A3B46DA8186F/1.png" TargetMode="Externa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http://663C3E86BAEA6D0EAD0637FABA766E15.dms.sberbank.ru/663C3E86BAEA6D0EAD0637FABA766E15-A3706015402A346BAE2C7E4161CEDD42-A9A74833DB22D58F1EAC0A81F51FB392/1.png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http://663C3E86BAEA6D0EAD0637FABA766E15.dms.sberbank.ru/663C3E86BAEA6D0EAD0637FABA766E15-A3706015402A346BAE2C7E4161CEDD42-A9A74833DB22D58F1EAC0A81F51FB392/1.png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http://663C3E86BAEA6D0EAD0637FABA766E15.dms.sberbank.ru/663C3E86BAEA6D0EAD0637FABA766E15-A3706015402A346BAE2C7E4161CEDD42-A9A74833DB22D58F1EAC0A81F51FB392/1.png" TargetMode="External"/><Relationship Id="rId2" Type="http://schemas.openxmlformats.org/officeDocument/2006/relationships/chart" Target="../charts/chart10.xml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http://663C3E86BAEA6D0EAD0637FABA766E15.dms.sberbank.ru/663C3E86BAEA6D0EAD0637FABA766E15-A3706015402A346BAE2C7E4161CEDD42-A9A74833DB22D58F1EAC0A81F51FB392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255571</xdr:colOff>
      <xdr:row>11</xdr:row>
      <xdr:rowOff>62792</xdr:rowOff>
    </xdr:from>
    <xdr:to>
      <xdr:col>4</xdr:col>
      <xdr:colOff>432945</xdr:colOff>
      <xdr:row>35</xdr:row>
      <xdr:rowOff>70556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571" y="1713792"/>
          <a:ext cx="3749743" cy="3055764"/>
        </a:xfrm>
        <a:prstGeom prst="rect">
          <a:avLst/>
        </a:prstGeom>
      </xdr:spPr>
    </xdr:pic>
    <xdr:clientData/>
  </xdr:twoCellAnchor>
  <xdr:twoCellAnchor>
    <xdr:from>
      <xdr:col>2</xdr:col>
      <xdr:colOff>431800</xdr:colOff>
      <xdr:row>7</xdr:row>
      <xdr:rowOff>63500</xdr:rowOff>
    </xdr:from>
    <xdr:to>
      <xdr:col>2</xdr:col>
      <xdr:colOff>471470</xdr:colOff>
      <xdr:row>11</xdr:row>
      <xdr:rowOff>69850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651000" y="1079500"/>
          <a:ext cx="39670" cy="5143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584359</xdr:colOff>
      <xdr:row>8</xdr:row>
      <xdr:rowOff>64911</xdr:rowOff>
    </xdr:from>
    <xdr:to>
      <xdr:col>5</xdr:col>
      <xdr:colOff>430389</xdr:colOff>
      <xdr:row>12</xdr:row>
      <xdr:rowOff>52211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745248" y="1334911"/>
          <a:ext cx="833808" cy="4953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9524</xdr:colOff>
      <xdr:row>6</xdr:row>
      <xdr:rowOff>60326</xdr:rowOff>
    </xdr:from>
    <xdr:to>
      <xdr:col>5</xdr:col>
      <xdr:colOff>38099</xdr:colOff>
      <xdr:row>7</xdr:row>
      <xdr:rowOff>76203</xdr:rowOff>
    </xdr:to>
    <xdr:sp macro="" textlink="">
      <xdr:nvSpPr>
        <xdr:cNvPr id="8" name="Правая круглая скобк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5400000">
          <a:off x="3108323" y="149227"/>
          <a:ext cx="142877" cy="1997075"/>
        </a:xfrm>
        <a:prstGeom prst="rightBracket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4" name="Рисунок 3" descr="http://663C3E86BAEA6D0EAD0637FABA766E15.dms.sberbank.ru/663C3E86BAEA6D0EAD0637FABA766E15-A3706015402A346BAE2C7E4161CEDD42-A9A74833DB22D58F1EAC0A81F51FB392/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6280</xdr:colOff>
      <xdr:row>44</xdr:row>
      <xdr:rowOff>15240</xdr:rowOff>
    </xdr:from>
    <xdr:to>
      <xdr:col>4</xdr:col>
      <xdr:colOff>960120</xdr:colOff>
      <xdr:row>67</xdr:row>
      <xdr:rowOff>115109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A1642C0-BA09-7348-C7DF-49E456DB3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80" y="6103620"/>
          <a:ext cx="4466660" cy="3079289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10</xdr:row>
      <xdr:rowOff>96495</xdr:rowOff>
    </xdr:from>
    <xdr:to>
      <xdr:col>12</xdr:col>
      <xdr:colOff>586033</xdr:colOff>
      <xdr:row>32</xdr:row>
      <xdr:rowOff>107825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F03FCAE-1B99-0638-7D24-C89184E9F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32120" y="1780515"/>
          <a:ext cx="4159813" cy="2861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663C3E86BAEA6D0EAD0637FABA766E15.dms.sberbank.ru/663C3E86BAEA6D0EAD0637FABA766E15-A3706015402A346BAE2C7E4161CEDD42-A9A74833DB22D58F1EAC0A81F51FB392/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14</xdr:row>
      <xdr:rowOff>39688</xdr:rowOff>
    </xdr:from>
    <xdr:to>
      <xdr:col>12</xdr:col>
      <xdr:colOff>337343</xdr:colOff>
      <xdr:row>35</xdr:row>
      <xdr:rowOff>30162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14</xdr:row>
      <xdr:rowOff>0</xdr:rowOff>
    </xdr:from>
    <xdr:to>
      <xdr:col>17</xdr:col>
      <xdr:colOff>567532</xdr:colOff>
      <xdr:row>34</xdr:row>
      <xdr:rowOff>117474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39687</xdr:colOff>
      <xdr:row>14</xdr:row>
      <xdr:rowOff>47625</xdr:rowOff>
    </xdr:from>
    <xdr:to>
      <xdr:col>23</xdr:col>
      <xdr:colOff>329406</xdr:colOff>
      <xdr:row>35</xdr:row>
      <xdr:rowOff>38099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7939</xdr:colOff>
      <xdr:row>14</xdr:row>
      <xdr:rowOff>31751</xdr:rowOff>
    </xdr:from>
    <xdr:to>
      <xdr:col>6</xdr:col>
      <xdr:colOff>654845</xdr:colOff>
      <xdr:row>35</xdr:row>
      <xdr:rowOff>22225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38100</xdr:colOff>
      <xdr:row>12</xdr:row>
      <xdr:rowOff>25399</xdr:rowOff>
    </xdr:from>
    <xdr:to>
      <xdr:col>42</xdr:col>
      <xdr:colOff>428624</xdr:colOff>
      <xdr:row>34</xdr:row>
      <xdr:rowOff>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1588</xdr:colOff>
      <xdr:row>0</xdr:row>
      <xdr:rowOff>1588</xdr:rowOff>
    </xdr:to>
    <xdr:pic>
      <xdr:nvPicPr>
        <xdr:cNvPr id="7" name="Рисунок 6" descr="http://663C3E86BAEA6D0EAD0637FABA766E15.dms.sberbank.ru/663C3E86BAEA6D0EAD0637FABA766E15-A3706015402A346BAE2C7E4161CEDD42-A9A74833DB22D58F1EAC0A81F51FB392/1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64030</xdr:colOff>
      <xdr:row>15</xdr:row>
      <xdr:rowOff>121177</xdr:rowOff>
    </xdr:from>
    <xdr:to>
      <xdr:col>27</xdr:col>
      <xdr:colOff>292101</xdr:colOff>
      <xdr:row>34</xdr:row>
      <xdr:rowOff>64027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7964E6E-7CC5-4CE5-81E9-9A2F3E79C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15875</xdr:colOff>
      <xdr:row>3</xdr:row>
      <xdr:rowOff>63501</xdr:rowOff>
    </xdr:from>
    <xdr:to>
      <xdr:col>27</xdr:col>
      <xdr:colOff>239713</xdr:colOff>
      <xdr:row>15</xdr:row>
      <xdr:rowOff>117476</xdr:rowOff>
    </xdr:to>
    <xdr:graphicFrame macro="">
      <xdr:nvGraphicFramePr>
        <xdr:cNvPr id="5" name="Диаграмма 13">
          <a:extLst>
            <a:ext uri="{FF2B5EF4-FFF2-40B4-BE49-F238E27FC236}">
              <a16:creationId xmlns:a16="http://schemas.microsoft.com/office/drawing/2014/main" id="{63CF8175-81BA-4556-8966-5A78F1F4D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79375</xdr:colOff>
      <xdr:row>3</xdr:row>
      <xdr:rowOff>63500</xdr:rowOff>
    </xdr:from>
    <xdr:to>
      <xdr:col>27</xdr:col>
      <xdr:colOff>303211</xdr:colOff>
      <xdr:row>15</xdr:row>
      <xdr:rowOff>117475</xdr:rowOff>
    </xdr:to>
    <xdr:graphicFrame macro="">
      <xdr:nvGraphicFramePr>
        <xdr:cNvPr id="6" name="Диаграмма 14">
          <a:extLst>
            <a:ext uri="{FF2B5EF4-FFF2-40B4-BE49-F238E27FC236}">
              <a16:creationId xmlns:a16="http://schemas.microsoft.com/office/drawing/2014/main" id="{26D24DC4-F850-4D4C-A05E-5A427C006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15875</xdr:colOff>
      <xdr:row>35</xdr:row>
      <xdr:rowOff>0</xdr:rowOff>
    </xdr:from>
    <xdr:to>
      <xdr:col>27</xdr:col>
      <xdr:colOff>239713</xdr:colOff>
      <xdr:row>48</xdr:row>
      <xdr:rowOff>69850</xdr:rowOff>
    </xdr:to>
    <xdr:graphicFrame macro="">
      <xdr:nvGraphicFramePr>
        <xdr:cNvPr id="7" name="Диаграмма 15">
          <a:extLst>
            <a:ext uri="{FF2B5EF4-FFF2-40B4-BE49-F238E27FC236}">
              <a16:creationId xmlns:a16="http://schemas.microsoft.com/office/drawing/2014/main" id="{F783422F-3DF0-4E9E-A2AF-FFDE0B903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1588</xdr:colOff>
      <xdr:row>1</xdr:row>
      <xdr:rowOff>1588</xdr:rowOff>
    </xdr:to>
    <xdr:pic>
      <xdr:nvPicPr>
        <xdr:cNvPr id="8" name="Рисунок 4" descr="http://248A2A0D496E8C2F106311C4CAD7B33C.dms.sberbank.ru/248A2A0D496E8C2F106311C4CAD7B33C-A3706015402A346BAE2C7E4161CEDD42-632B160382C66AFF3704A3B46DA8186F/1.png">
          <a:extLst>
            <a:ext uri="{FF2B5EF4-FFF2-40B4-BE49-F238E27FC236}">
              <a16:creationId xmlns:a16="http://schemas.microsoft.com/office/drawing/2014/main" id="{88C40C5D-4FDE-46A2-8466-F0E777EABB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663C3E86BAEA6D0EAD0637FABA766E15.dms.sberbank.ru/663C3E86BAEA6D0EAD0637FABA766E15-A3706015402A346BAE2C7E4161CEDD42-A9A74833DB22D58F1EAC0A81F51FB392/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126998</xdr:colOff>
      <xdr:row>37</xdr:row>
      <xdr:rowOff>111125</xdr:rowOff>
    </xdr:from>
    <xdr:to>
      <xdr:col>16</xdr:col>
      <xdr:colOff>291522</xdr:colOff>
      <xdr:row>44</xdr:row>
      <xdr:rowOff>10093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1561" y="5159375"/>
          <a:ext cx="2815649" cy="843531"/>
        </a:xfrm>
        <a:prstGeom prst="rect">
          <a:avLst/>
        </a:prstGeom>
      </xdr:spPr>
    </xdr:pic>
    <xdr:clientData/>
  </xdr:twoCellAnchor>
  <xdr:twoCellAnchor editAs="oneCell">
    <xdr:from>
      <xdr:col>17</xdr:col>
      <xdr:colOff>430728</xdr:colOff>
      <xdr:row>36</xdr:row>
      <xdr:rowOff>309563</xdr:rowOff>
    </xdr:from>
    <xdr:to>
      <xdr:col>22</xdr:col>
      <xdr:colOff>278589</xdr:colOff>
      <xdr:row>50</xdr:row>
      <xdr:rowOff>93070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7603" y="4849813"/>
          <a:ext cx="2903798" cy="21234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1588</xdr:colOff>
      <xdr:row>2</xdr:row>
      <xdr:rowOff>1588</xdr:rowOff>
    </xdr:to>
    <xdr:pic>
      <xdr:nvPicPr>
        <xdr:cNvPr id="2" name="Рисунок 1" descr="http://663C3E86BAEA6D0EAD0637FABA766E15.dms.sberbank.ru/663C3E86BAEA6D0EAD0637FABA766E15-A3706015402A346BAE2C7E4161CEDD42-A9A74833DB22D58F1EAC0A81F51FB392/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55562</xdr:colOff>
      <xdr:row>1</xdr:row>
      <xdr:rowOff>107678</xdr:rowOff>
    </xdr:from>
    <xdr:to>
      <xdr:col>14</xdr:col>
      <xdr:colOff>188133</xdr:colOff>
      <xdr:row>14</xdr:row>
      <xdr:rowOff>105895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4862" y="234678"/>
          <a:ext cx="3180572" cy="1909567"/>
        </a:xfrm>
        <a:prstGeom prst="rect">
          <a:avLst/>
        </a:prstGeom>
      </xdr:spPr>
    </xdr:pic>
    <xdr:clientData/>
  </xdr:twoCellAnchor>
  <xdr:twoCellAnchor>
    <xdr:from>
      <xdr:col>14</xdr:col>
      <xdr:colOff>162718</xdr:colOff>
      <xdr:row>1</xdr:row>
      <xdr:rowOff>23813</xdr:rowOff>
    </xdr:from>
    <xdr:to>
      <xdr:col>24</xdr:col>
      <xdr:colOff>261937</xdr:colOff>
      <xdr:row>34</xdr:row>
      <xdr:rowOff>124112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663C3E86BAEA6D0EAD0637FABA766E15.dms.sberbank.ru/663C3E86BAEA6D0EAD0637FABA766E15-A3706015402A346BAE2C7E4161CEDD42-A9A74833DB22D58F1EAC0A81F51FB392/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1588</xdr:colOff>
      <xdr:row>2</xdr:row>
      <xdr:rowOff>1588</xdr:rowOff>
    </xdr:to>
    <xdr:pic>
      <xdr:nvPicPr>
        <xdr:cNvPr id="2" name="Рисунок 1" descr="http://663C3E86BAEA6D0EAD0637FABA766E15.dms.sberbank.ru/663C3E86BAEA6D0EAD0637FABA766E15-A3706015402A346BAE2C7E4161CEDD42-A9A74833DB22D58F1EAC0A81F51FB392/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7" dT="2022-12-03T09:31:45.08" personId="{00000000-0000-0000-0000-000000000000}" id="{954DCA82-1B59-476B-A87C-ABCFEBCC2A41}">
    <text>2 transformations:
- aligning periods
- transferring into continuous compounding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hyperlink" Target="https://www.youtube.com/watch?v=tFWoVTHc3AM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3:G43"/>
  <sheetViews>
    <sheetView tabSelected="1" zoomScaleNormal="100" workbookViewId="0">
      <selection activeCell="D74" sqref="D74"/>
    </sheetView>
  </sheetViews>
  <sheetFormatPr defaultColWidth="8.77734375" defaultRowHeight="10.199999999999999" x14ac:dyDescent="0.2"/>
  <cols>
    <col min="1" max="1" width="8.77734375" style="1"/>
    <col min="2" max="2" width="10.33203125" style="1" bestFit="1" customWidth="1"/>
    <col min="3" max="3" width="12" style="1" customWidth="1"/>
    <col min="4" max="5" width="20.109375" style="1" customWidth="1"/>
    <col min="6" max="16384" width="8.77734375" style="1"/>
  </cols>
  <sheetData>
    <row r="3" spans="2:7" s="65" customFormat="1" ht="40.799999999999997" x14ac:dyDescent="0.3">
      <c r="C3" s="88" t="s">
        <v>245</v>
      </c>
      <c r="D3" s="88" t="s">
        <v>243</v>
      </c>
      <c r="E3" s="88" t="s">
        <v>244</v>
      </c>
    </row>
    <row r="4" spans="2:7" x14ac:dyDescent="0.2">
      <c r="B4" s="1" t="s">
        <v>16</v>
      </c>
      <c r="C4" s="1">
        <v>100</v>
      </c>
    </row>
    <row r="5" spans="2:7" x14ac:dyDescent="0.2">
      <c r="B5" s="1" t="s">
        <v>211</v>
      </c>
      <c r="C5" s="1">
        <v>110</v>
      </c>
      <c r="D5" s="1">
        <f>C5-C4</f>
        <v>10</v>
      </c>
    </row>
    <row r="6" spans="2:7" x14ac:dyDescent="0.2">
      <c r="B6" s="1" t="s">
        <v>210</v>
      </c>
      <c r="C6" s="1">
        <v>111</v>
      </c>
      <c r="D6" s="1">
        <f>C6-C5</f>
        <v>1</v>
      </c>
      <c r="F6" s="2"/>
      <c r="G6" s="2"/>
    </row>
    <row r="7" spans="2:7" x14ac:dyDescent="0.2">
      <c r="B7" s="1" t="s">
        <v>18</v>
      </c>
      <c r="C7" s="1">
        <v>112</v>
      </c>
      <c r="D7" s="1">
        <f>C7-C6</f>
        <v>1</v>
      </c>
      <c r="E7" s="1">
        <f>SUM(D5:D7)</f>
        <v>12</v>
      </c>
      <c r="F7" s="2">
        <f>C7-C4-E7</f>
        <v>0</v>
      </c>
      <c r="G7" s="2"/>
    </row>
    <row r="8" spans="2:7" x14ac:dyDescent="0.2">
      <c r="F8" s="2"/>
      <c r="G8" s="2"/>
    </row>
    <row r="9" spans="2:7" x14ac:dyDescent="0.2">
      <c r="F9" s="2"/>
      <c r="G9" s="2"/>
    </row>
    <row r="10" spans="2:7" x14ac:dyDescent="0.2">
      <c r="F10" s="2"/>
      <c r="G10" s="2"/>
    </row>
    <row r="11" spans="2:7" x14ac:dyDescent="0.2">
      <c r="F11" s="2"/>
      <c r="G11" s="2"/>
    </row>
    <row r="12" spans="2:7" x14ac:dyDescent="0.2">
      <c r="F12" s="2"/>
      <c r="G12" s="2"/>
    </row>
    <row r="13" spans="2:7" x14ac:dyDescent="0.2">
      <c r="F13" s="2"/>
      <c r="G13" s="2"/>
    </row>
    <row r="43" spans="1:1" x14ac:dyDescent="0.2">
      <c r="A43" s="123" t="s">
        <v>246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B2:J260"/>
  <sheetViews>
    <sheetView zoomScale="90" zoomScaleNormal="90" workbookViewId="0">
      <selection activeCell="N26" sqref="N26"/>
    </sheetView>
  </sheetViews>
  <sheetFormatPr defaultColWidth="8.77734375" defaultRowHeight="10.199999999999999" x14ac:dyDescent="0.2"/>
  <cols>
    <col min="1" max="1" width="8.77734375" style="81"/>
    <col min="2" max="2" width="16.88671875" style="81" customWidth="1"/>
    <col min="3" max="4" width="13" style="81" customWidth="1"/>
    <col min="5" max="5" width="14.88671875" style="81" bestFit="1" customWidth="1"/>
    <col min="6" max="6" width="14.109375" style="81" bestFit="1" customWidth="1"/>
    <col min="7" max="7" width="14.88671875" style="81" customWidth="1"/>
    <col min="8" max="8" width="9" style="81" customWidth="1"/>
    <col min="9" max="9" width="10.6640625" style="81" bestFit="1" customWidth="1"/>
    <col min="10" max="10" width="8.77734375" style="81" bestFit="1" customWidth="1"/>
    <col min="11" max="16384" width="8.77734375" style="81"/>
  </cols>
  <sheetData>
    <row r="2" spans="2:10" x14ac:dyDescent="0.2">
      <c r="B2" s="81" t="s">
        <v>29</v>
      </c>
    </row>
    <row r="3" spans="2:10" x14ac:dyDescent="0.2">
      <c r="B3" s="81" t="s">
        <v>16</v>
      </c>
      <c r="C3" s="82">
        <v>44531</v>
      </c>
    </row>
    <row r="4" spans="2:10" x14ac:dyDescent="0.2">
      <c r="B4" s="127" t="s">
        <v>17</v>
      </c>
      <c r="C4" s="128">
        <v>44540</v>
      </c>
    </row>
    <row r="5" spans="2:10" x14ac:dyDescent="0.2">
      <c r="B5" s="81" t="s">
        <v>18</v>
      </c>
      <c r="C5" s="82">
        <v>44561</v>
      </c>
    </row>
    <row r="6" spans="2:10" x14ac:dyDescent="0.2">
      <c r="B6" s="81" t="s">
        <v>55</v>
      </c>
      <c r="C6" s="81">
        <v>73.5</v>
      </c>
    </row>
    <row r="7" spans="2:10" x14ac:dyDescent="0.2">
      <c r="B7" s="81" t="s">
        <v>21</v>
      </c>
      <c r="C7" s="81">
        <v>100</v>
      </c>
      <c r="D7" s="81" t="s">
        <v>30</v>
      </c>
    </row>
    <row r="8" spans="2:10" x14ac:dyDescent="0.2">
      <c r="B8" s="81" t="s">
        <v>47</v>
      </c>
      <c r="C8" s="83">
        <v>0.06</v>
      </c>
    </row>
    <row r="10" spans="2:10" x14ac:dyDescent="0.2">
      <c r="E10" s="81" t="s">
        <v>253</v>
      </c>
    </row>
    <row r="12" spans="2:10" s="84" customFormat="1" ht="20.399999999999999" x14ac:dyDescent="0.3">
      <c r="C12" s="85" t="s">
        <v>213</v>
      </c>
      <c r="D12" s="85" t="s">
        <v>214</v>
      </c>
      <c r="E12" s="85" t="s">
        <v>31</v>
      </c>
      <c r="F12" s="100" t="s">
        <v>206</v>
      </c>
      <c r="G12" s="101" t="s">
        <v>207</v>
      </c>
      <c r="I12" s="85" t="s">
        <v>28</v>
      </c>
      <c r="J12" s="85" t="s">
        <v>32</v>
      </c>
    </row>
    <row r="13" spans="2:10" x14ac:dyDescent="0.2">
      <c r="B13" s="82">
        <v>44531</v>
      </c>
      <c r="C13" s="79">
        <f t="shared" ref="C13:C43" si="0">VLOOKUP(B13,I:J,2,TRUE)*$C$7</f>
        <v>7489.26</v>
      </c>
      <c r="D13" s="79">
        <f>$C$6*$C$7</f>
        <v>7350</v>
      </c>
      <c r="E13" s="86">
        <f>IF((C13-D13)&gt;0,(C13-D13)*0.5%,0)</f>
        <v>0.69630000000000114</v>
      </c>
      <c r="F13" s="102">
        <f>C13-D13-E13</f>
        <v>138.56370000000021</v>
      </c>
      <c r="G13" s="103"/>
      <c r="I13" s="82">
        <v>44197</v>
      </c>
      <c r="J13" s="87">
        <v>73.875699999999995</v>
      </c>
    </row>
    <row r="14" spans="2:10" x14ac:dyDescent="0.2">
      <c r="B14" s="82">
        <v>44532</v>
      </c>
      <c r="C14" s="79">
        <f t="shared" si="0"/>
        <v>7397.4599999999991</v>
      </c>
      <c r="D14" s="79">
        <f t="shared" ref="D14:D43" si="1">$C$6*$C$7</f>
        <v>7350</v>
      </c>
      <c r="E14" s="86">
        <f t="shared" ref="E14:E43" si="2">IF((C14-D14)&gt;0,(C14-D14)*0.5%,0)</f>
        <v>0.23729999999999563</v>
      </c>
      <c r="F14" s="102">
        <f t="shared" ref="F14:F43" si="3">C14-D14-E14</f>
        <v>47.222699999999129</v>
      </c>
      <c r="G14" s="104">
        <f>F14-F13</f>
        <v>-91.341000000001088</v>
      </c>
      <c r="I14" s="82">
        <v>44208</v>
      </c>
      <c r="J14" s="87">
        <v>74.515699999999995</v>
      </c>
    </row>
    <row r="15" spans="2:10" x14ac:dyDescent="0.2">
      <c r="B15" s="82">
        <v>44533</v>
      </c>
      <c r="C15" s="79">
        <f t="shared" si="0"/>
        <v>7406.37</v>
      </c>
      <c r="D15" s="79">
        <f t="shared" si="1"/>
        <v>7350</v>
      </c>
      <c r="E15" s="86">
        <f t="shared" si="2"/>
        <v>0.28184999999999943</v>
      </c>
      <c r="F15" s="102">
        <f t="shared" si="3"/>
        <v>56.088149999999892</v>
      </c>
      <c r="G15" s="104">
        <f t="shared" ref="G15:G43" si="4">F15-F14</f>
        <v>8.865450000000763</v>
      </c>
      <c r="I15" s="82">
        <v>44209</v>
      </c>
      <c r="J15" s="87">
        <v>74.266300000000001</v>
      </c>
    </row>
    <row r="16" spans="2:10" x14ac:dyDescent="0.2">
      <c r="B16" s="82">
        <v>44534</v>
      </c>
      <c r="C16" s="79">
        <f t="shared" si="0"/>
        <v>7374.2599999999993</v>
      </c>
      <c r="D16" s="79">
        <f t="shared" si="1"/>
        <v>7350</v>
      </c>
      <c r="E16" s="86">
        <f t="shared" si="2"/>
        <v>0.12129999999999655</v>
      </c>
      <c r="F16" s="102">
        <f t="shared" si="3"/>
        <v>24.138699999999311</v>
      </c>
      <c r="G16" s="104">
        <f t="shared" si="4"/>
        <v>-31.949450000000581</v>
      </c>
      <c r="I16" s="82">
        <v>44210</v>
      </c>
      <c r="J16" s="87">
        <v>73.526399999999995</v>
      </c>
    </row>
    <row r="17" spans="2:10" x14ac:dyDescent="0.2">
      <c r="B17" s="82">
        <v>44535</v>
      </c>
      <c r="C17" s="79">
        <f t="shared" si="0"/>
        <v>7374.2599999999993</v>
      </c>
      <c r="D17" s="79">
        <f t="shared" si="1"/>
        <v>7350</v>
      </c>
      <c r="E17" s="86">
        <f t="shared" si="2"/>
        <v>0.12129999999999655</v>
      </c>
      <c r="F17" s="102">
        <f t="shared" si="3"/>
        <v>24.138699999999311</v>
      </c>
      <c r="G17" s="104">
        <f t="shared" si="4"/>
        <v>0</v>
      </c>
      <c r="I17" s="82">
        <v>44211</v>
      </c>
      <c r="J17" s="87">
        <v>73.796099999999996</v>
      </c>
    </row>
    <row r="18" spans="2:10" x14ac:dyDescent="0.2">
      <c r="B18" s="82">
        <v>44536</v>
      </c>
      <c r="C18" s="79">
        <f t="shared" si="0"/>
        <v>7374.2599999999993</v>
      </c>
      <c r="D18" s="79">
        <f t="shared" si="1"/>
        <v>7350</v>
      </c>
      <c r="E18" s="86">
        <f t="shared" si="2"/>
        <v>0.12129999999999655</v>
      </c>
      <c r="F18" s="102">
        <f t="shared" si="3"/>
        <v>24.138699999999311</v>
      </c>
      <c r="G18" s="104">
        <f t="shared" si="4"/>
        <v>0</v>
      </c>
      <c r="I18" s="82">
        <v>44212</v>
      </c>
      <c r="J18" s="87">
        <v>73.545299999999997</v>
      </c>
    </row>
    <row r="19" spans="2:10" x14ac:dyDescent="0.2">
      <c r="B19" s="82">
        <v>44537</v>
      </c>
      <c r="C19" s="79">
        <f t="shared" si="0"/>
        <v>7366.94</v>
      </c>
      <c r="D19" s="79">
        <f t="shared" si="1"/>
        <v>7350</v>
      </c>
      <c r="E19" s="86">
        <f t="shared" si="2"/>
        <v>8.4699999999997999E-2</v>
      </c>
      <c r="F19" s="102">
        <f t="shared" si="3"/>
        <v>16.855299999999602</v>
      </c>
      <c r="G19" s="104">
        <f t="shared" si="4"/>
        <v>-7.283399999999709</v>
      </c>
      <c r="I19" s="82">
        <v>44215</v>
      </c>
      <c r="J19" s="87">
        <v>73.973500000000001</v>
      </c>
    </row>
    <row r="20" spans="2:10" x14ac:dyDescent="0.2">
      <c r="B20" s="82">
        <v>44538</v>
      </c>
      <c r="C20" s="79">
        <f t="shared" si="0"/>
        <v>7413.99</v>
      </c>
      <c r="D20" s="79">
        <f t="shared" si="1"/>
        <v>7350</v>
      </c>
      <c r="E20" s="86">
        <f t="shared" si="2"/>
        <v>0.3199499999999989</v>
      </c>
      <c r="F20" s="102">
        <f t="shared" si="3"/>
        <v>63.670049999999783</v>
      </c>
      <c r="G20" s="104">
        <f t="shared" si="4"/>
        <v>46.814750000000181</v>
      </c>
      <c r="I20" s="82">
        <v>44216</v>
      </c>
      <c r="J20" s="87">
        <v>73.724299999999999</v>
      </c>
    </row>
    <row r="21" spans="2:10" x14ac:dyDescent="0.2">
      <c r="B21" s="82">
        <v>44539</v>
      </c>
      <c r="C21" s="79">
        <f t="shared" si="0"/>
        <v>7384.53</v>
      </c>
      <c r="D21" s="79">
        <f t="shared" si="1"/>
        <v>7350</v>
      </c>
      <c r="E21" s="86">
        <f t="shared" si="2"/>
        <v>0.17264999999999872</v>
      </c>
      <c r="F21" s="102">
        <f t="shared" si="3"/>
        <v>34.357349999999748</v>
      </c>
      <c r="G21" s="104">
        <f t="shared" si="4"/>
        <v>-29.312700000000035</v>
      </c>
      <c r="I21" s="82">
        <v>44217</v>
      </c>
      <c r="J21" s="87">
        <v>73.355000000000004</v>
      </c>
    </row>
    <row r="22" spans="2:10" s="123" customFormat="1" x14ac:dyDescent="0.2">
      <c r="B22" s="128">
        <v>44540</v>
      </c>
      <c r="C22" s="129">
        <f t="shared" si="0"/>
        <v>7359.9800000000005</v>
      </c>
      <c r="D22" s="129">
        <f t="shared" si="1"/>
        <v>7350</v>
      </c>
      <c r="E22" s="130">
        <f t="shared" si="2"/>
        <v>4.9900000000002366E-2</v>
      </c>
      <c r="F22" s="102">
        <f t="shared" si="3"/>
        <v>9.9301000000004702</v>
      </c>
      <c r="G22" s="131">
        <f t="shared" si="4"/>
        <v>-24.427249999999276</v>
      </c>
      <c r="H22" s="127"/>
      <c r="I22" s="128">
        <v>44218</v>
      </c>
      <c r="J22" s="132">
        <v>73.369399999999999</v>
      </c>
    </row>
    <row r="23" spans="2:10" x14ac:dyDescent="0.2">
      <c r="B23" s="82">
        <v>44541</v>
      </c>
      <c r="C23" s="79">
        <f t="shared" si="0"/>
        <v>7360.59</v>
      </c>
      <c r="D23" s="79">
        <f t="shared" si="1"/>
        <v>7350</v>
      </c>
      <c r="E23" s="86">
        <f t="shared" si="2"/>
        <v>5.2950000000000726E-2</v>
      </c>
      <c r="F23" s="102">
        <f t="shared" si="3"/>
        <v>10.537050000000145</v>
      </c>
      <c r="G23" s="104">
        <f t="shared" si="4"/>
        <v>0.60694999999967436</v>
      </c>
      <c r="I23" s="82">
        <v>44219</v>
      </c>
      <c r="J23" s="87">
        <v>74.361500000000007</v>
      </c>
    </row>
    <row r="24" spans="2:10" x14ac:dyDescent="0.2">
      <c r="B24" s="82">
        <v>44542</v>
      </c>
      <c r="C24" s="79">
        <f t="shared" si="0"/>
        <v>7360.59</v>
      </c>
      <c r="D24" s="79">
        <f t="shared" si="1"/>
        <v>7350</v>
      </c>
      <c r="E24" s="86">
        <f t="shared" si="2"/>
        <v>5.2950000000000726E-2</v>
      </c>
      <c r="F24" s="102">
        <f t="shared" si="3"/>
        <v>10.537050000000145</v>
      </c>
      <c r="G24" s="104">
        <f t="shared" si="4"/>
        <v>0</v>
      </c>
      <c r="I24" s="82">
        <v>44222</v>
      </c>
      <c r="J24" s="87">
        <v>74.856899999999996</v>
      </c>
    </row>
    <row r="25" spans="2:10" x14ac:dyDescent="0.2">
      <c r="B25" s="82">
        <v>44543</v>
      </c>
      <c r="C25" s="79">
        <f t="shared" si="0"/>
        <v>7360.59</v>
      </c>
      <c r="D25" s="79">
        <f t="shared" si="1"/>
        <v>7350</v>
      </c>
      <c r="E25" s="86">
        <f t="shared" si="2"/>
        <v>5.2950000000000726E-2</v>
      </c>
      <c r="F25" s="102">
        <f t="shared" si="3"/>
        <v>10.537050000000145</v>
      </c>
      <c r="G25" s="104">
        <f t="shared" si="4"/>
        <v>0</v>
      </c>
      <c r="I25" s="82">
        <v>44223</v>
      </c>
      <c r="J25" s="87">
        <v>75.635400000000004</v>
      </c>
    </row>
    <row r="26" spans="2:10" x14ac:dyDescent="0.2">
      <c r="B26" s="82">
        <v>44544</v>
      </c>
      <c r="C26" s="79">
        <f t="shared" si="0"/>
        <v>7341.0700000000006</v>
      </c>
      <c r="D26" s="79">
        <f t="shared" si="1"/>
        <v>7350</v>
      </c>
      <c r="E26" s="86">
        <f t="shared" si="2"/>
        <v>0</v>
      </c>
      <c r="F26" s="102">
        <f t="shared" si="3"/>
        <v>-8.9299999999993815</v>
      </c>
      <c r="G26" s="104">
        <f t="shared" si="4"/>
        <v>-19.467049999999524</v>
      </c>
      <c r="I26" s="82">
        <v>44224</v>
      </c>
      <c r="J26" s="87">
        <v>75.040000000000006</v>
      </c>
    </row>
    <row r="27" spans="2:10" x14ac:dyDescent="0.2">
      <c r="B27" s="82">
        <v>44545</v>
      </c>
      <c r="C27" s="79">
        <f t="shared" si="0"/>
        <v>7346.9800000000005</v>
      </c>
      <c r="D27" s="79">
        <f t="shared" si="1"/>
        <v>7350</v>
      </c>
      <c r="E27" s="86">
        <f t="shared" si="2"/>
        <v>0</v>
      </c>
      <c r="F27" s="102">
        <f t="shared" si="3"/>
        <v>-3.0199999999995271</v>
      </c>
      <c r="G27" s="104">
        <f t="shared" si="4"/>
        <v>5.9099999999998545</v>
      </c>
      <c r="I27" s="82">
        <v>44225</v>
      </c>
      <c r="J27" s="87">
        <v>76.185400000000001</v>
      </c>
    </row>
    <row r="28" spans="2:10" x14ac:dyDescent="0.2">
      <c r="B28" s="82">
        <v>44546</v>
      </c>
      <c r="C28" s="79">
        <f t="shared" si="0"/>
        <v>7385.1</v>
      </c>
      <c r="D28" s="79">
        <f t="shared" si="1"/>
        <v>7350</v>
      </c>
      <c r="E28" s="86">
        <f t="shared" si="2"/>
        <v>0.17550000000000182</v>
      </c>
      <c r="F28" s="102">
        <f t="shared" si="3"/>
        <v>34.924500000000364</v>
      </c>
      <c r="G28" s="104">
        <f t="shared" si="4"/>
        <v>37.944499999999891</v>
      </c>
      <c r="I28" s="82">
        <v>44226</v>
      </c>
      <c r="J28" s="87">
        <v>76.252700000000004</v>
      </c>
    </row>
    <row r="29" spans="2:10" x14ac:dyDescent="0.2">
      <c r="B29" s="82">
        <v>44547</v>
      </c>
      <c r="C29" s="79">
        <f t="shared" si="0"/>
        <v>7357.0800000000008</v>
      </c>
      <c r="D29" s="79">
        <f t="shared" si="1"/>
        <v>7350</v>
      </c>
      <c r="E29" s="86">
        <f t="shared" si="2"/>
        <v>3.5400000000004185E-2</v>
      </c>
      <c r="F29" s="102">
        <f t="shared" si="3"/>
        <v>7.0446000000008322</v>
      </c>
      <c r="G29" s="104">
        <f t="shared" si="4"/>
        <v>-27.87989999999953</v>
      </c>
      <c r="I29" s="82">
        <v>44229</v>
      </c>
      <c r="J29" s="87">
        <v>75.505300000000005</v>
      </c>
    </row>
    <row r="30" spans="2:10" x14ac:dyDescent="0.2">
      <c r="B30" s="82">
        <v>44548</v>
      </c>
      <c r="C30" s="79">
        <f t="shared" si="0"/>
        <v>7373.3</v>
      </c>
      <c r="D30" s="79">
        <f t="shared" si="1"/>
        <v>7350</v>
      </c>
      <c r="E30" s="86">
        <f t="shared" si="2"/>
        <v>0.11650000000000091</v>
      </c>
      <c r="F30" s="102">
        <f t="shared" si="3"/>
        <v>23.18350000000018</v>
      </c>
      <c r="G30" s="104">
        <f t="shared" si="4"/>
        <v>16.138899999999346</v>
      </c>
      <c r="I30" s="82">
        <v>44230</v>
      </c>
      <c r="J30" s="87">
        <v>75.905100000000004</v>
      </c>
    </row>
    <row r="31" spans="2:10" x14ac:dyDescent="0.2">
      <c r="B31" s="82">
        <v>44549</v>
      </c>
      <c r="C31" s="79">
        <f t="shared" si="0"/>
        <v>7373.3</v>
      </c>
      <c r="D31" s="79">
        <f t="shared" si="1"/>
        <v>7350</v>
      </c>
      <c r="E31" s="86">
        <f t="shared" si="2"/>
        <v>0.11650000000000091</v>
      </c>
      <c r="F31" s="102">
        <f t="shared" si="3"/>
        <v>23.18350000000018</v>
      </c>
      <c r="G31" s="104">
        <f t="shared" si="4"/>
        <v>0</v>
      </c>
      <c r="I31" s="82">
        <v>44231</v>
      </c>
      <c r="J31" s="87">
        <v>76.080100000000002</v>
      </c>
    </row>
    <row r="32" spans="2:10" x14ac:dyDescent="0.2">
      <c r="B32" s="82">
        <v>44550</v>
      </c>
      <c r="C32" s="79">
        <f t="shared" si="0"/>
        <v>7373.3</v>
      </c>
      <c r="D32" s="79">
        <f t="shared" si="1"/>
        <v>7350</v>
      </c>
      <c r="E32" s="86">
        <f t="shared" si="2"/>
        <v>0.11650000000000091</v>
      </c>
      <c r="F32" s="102">
        <f t="shared" si="3"/>
        <v>23.18350000000018</v>
      </c>
      <c r="G32" s="104">
        <f t="shared" si="4"/>
        <v>0</v>
      </c>
      <c r="I32" s="82">
        <v>44232</v>
      </c>
      <c r="J32" s="87">
        <v>75.729299999999995</v>
      </c>
    </row>
    <row r="33" spans="2:10" x14ac:dyDescent="0.2">
      <c r="B33" s="82">
        <v>44551</v>
      </c>
      <c r="C33" s="79">
        <f t="shared" si="0"/>
        <v>7429.47</v>
      </c>
      <c r="D33" s="79">
        <f t="shared" si="1"/>
        <v>7350</v>
      </c>
      <c r="E33" s="86">
        <f t="shared" si="2"/>
        <v>0.39735000000000126</v>
      </c>
      <c r="F33" s="102">
        <f t="shared" si="3"/>
        <v>79.072650000000252</v>
      </c>
      <c r="G33" s="104">
        <f t="shared" si="4"/>
        <v>55.889150000000072</v>
      </c>
      <c r="I33" s="82">
        <v>44233</v>
      </c>
      <c r="J33" s="87">
        <v>75.110699999999994</v>
      </c>
    </row>
    <row r="34" spans="2:10" x14ac:dyDescent="0.2">
      <c r="B34" s="82">
        <v>44552</v>
      </c>
      <c r="C34" s="79">
        <f t="shared" si="0"/>
        <v>7382.0599999999995</v>
      </c>
      <c r="D34" s="79">
        <f t="shared" si="1"/>
        <v>7350</v>
      </c>
      <c r="E34" s="86">
        <f t="shared" si="2"/>
        <v>0.16029999999999744</v>
      </c>
      <c r="F34" s="102">
        <f t="shared" si="3"/>
        <v>31.899699999999495</v>
      </c>
      <c r="G34" s="104">
        <f t="shared" si="4"/>
        <v>-47.172950000000753</v>
      </c>
      <c r="I34" s="82">
        <v>44236</v>
      </c>
      <c r="J34" s="87">
        <v>74.260199999999998</v>
      </c>
    </row>
    <row r="35" spans="2:10" x14ac:dyDescent="0.2">
      <c r="B35" s="82">
        <v>44553</v>
      </c>
      <c r="C35" s="79">
        <f t="shared" si="0"/>
        <v>7379.0099999999993</v>
      </c>
      <c r="D35" s="79">
        <f t="shared" si="1"/>
        <v>7350</v>
      </c>
      <c r="E35" s="86">
        <f t="shared" si="2"/>
        <v>0.14504999999999654</v>
      </c>
      <c r="F35" s="102">
        <f t="shared" si="3"/>
        <v>28.864949999999311</v>
      </c>
      <c r="G35" s="104">
        <f t="shared" si="4"/>
        <v>-3.0347500000001837</v>
      </c>
      <c r="I35" s="82">
        <v>44237</v>
      </c>
      <c r="J35" s="87">
        <v>74.119200000000006</v>
      </c>
    </row>
    <row r="36" spans="2:10" x14ac:dyDescent="0.2">
      <c r="B36" s="82">
        <v>44554</v>
      </c>
      <c r="C36" s="79">
        <f t="shared" si="0"/>
        <v>7335.83</v>
      </c>
      <c r="D36" s="79">
        <f t="shared" si="1"/>
        <v>7350</v>
      </c>
      <c r="E36" s="86">
        <f t="shared" si="2"/>
        <v>0</v>
      </c>
      <c r="F36" s="102">
        <f t="shared" si="3"/>
        <v>-14.170000000000073</v>
      </c>
      <c r="G36" s="104">
        <f t="shared" si="4"/>
        <v>-43.034949999999384</v>
      </c>
      <c r="I36" s="82">
        <v>44238</v>
      </c>
      <c r="J36" s="87">
        <v>73.852599999999995</v>
      </c>
    </row>
    <row r="37" spans="2:10" x14ac:dyDescent="0.2">
      <c r="B37" s="82">
        <v>44555</v>
      </c>
      <c r="C37" s="79">
        <f t="shared" si="0"/>
        <v>7318.86</v>
      </c>
      <c r="D37" s="79">
        <f t="shared" si="1"/>
        <v>7350</v>
      </c>
      <c r="E37" s="86">
        <f t="shared" si="2"/>
        <v>0</v>
      </c>
      <c r="F37" s="102">
        <f t="shared" si="3"/>
        <v>-31.140000000000327</v>
      </c>
      <c r="G37" s="104">
        <f t="shared" si="4"/>
        <v>-16.970000000000255</v>
      </c>
      <c r="I37" s="82">
        <v>44239</v>
      </c>
      <c r="J37" s="87">
        <v>73.757900000000006</v>
      </c>
    </row>
    <row r="38" spans="2:10" x14ac:dyDescent="0.2">
      <c r="B38" s="82">
        <v>44556</v>
      </c>
      <c r="C38" s="79">
        <f t="shared" si="0"/>
        <v>7318.86</v>
      </c>
      <c r="D38" s="79">
        <f t="shared" si="1"/>
        <v>7350</v>
      </c>
      <c r="E38" s="86">
        <f t="shared" si="2"/>
        <v>0</v>
      </c>
      <c r="F38" s="102">
        <f t="shared" si="3"/>
        <v>-31.140000000000327</v>
      </c>
      <c r="G38" s="104">
        <f t="shared" si="4"/>
        <v>0</v>
      </c>
      <c r="I38" s="82">
        <v>44240</v>
      </c>
      <c r="J38" s="87">
        <v>73.937799999999996</v>
      </c>
    </row>
    <row r="39" spans="2:10" x14ac:dyDescent="0.2">
      <c r="B39" s="82">
        <v>44557</v>
      </c>
      <c r="C39" s="79">
        <f t="shared" si="0"/>
        <v>7318.86</v>
      </c>
      <c r="D39" s="79">
        <f t="shared" si="1"/>
        <v>7350</v>
      </c>
      <c r="E39" s="86">
        <f t="shared" si="2"/>
        <v>0</v>
      </c>
      <c r="F39" s="102">
        <f t="shared" si="3"/>
        <v>-31.140000000000327</v>
      </c>
      <c r="G39" s="104">
        <f t="shared" si="4"/>
        <v>0</v>
      </c>
      <c r="I39" s="82">
        <v>44243</v>
      </c>
      <c r="J39" s="87">
        <v>73.309200000000004</v>
      </c>
    </row>
    <row r="40" spans="2:10" x14ac:dyDescent="0.2">
      <c r="B40" s="82">
        <v>44558</v>
      </c>
      <c r="C40" s="79">
        <f t="shared" si="0"/>
        <v>7323.29</v>
      </c>
      <c r="D40" s="79">
        <f t="shared" si="1"/>
        <v>7350</v>
      </c>
      <c r="E40" s="86">
        <f t="shared" si="2"/>
        <v>0</v>
      </c>
      <c r="F40" s="102">
        <f t="shared" si="3"/>
        <v>-26.710000000000036</v>
      </c>
      <c r="G40" s="104">
        <f t="shared" si="4"/>
        <v>4.430000000000291</v>
      </c>
      <c r="I40" s="82">
        <v>44244</v>
      </c>
      <c r="J40" s="87">
        <v>73.289500000000004</v>
      </c>
    </row>
    <row r="41" spans="2:10" x14ac:dyDescent="0.2">
      <c r="B41" s="82">
        <v>44559</v>
      </c>
      <c r="C41" s="79">
        <f t="shared" si="0"/>
        <v>7349.59</v>
      </c>
      <c r="D41" s="79">
        <f t="shared" si="1"/>
        <v>7350</v>
      </c>
      <c r="E41" s="86">
        <f t="shared" si="2"/>
        <v>0</v>
      </c>
      <c r="F41" s="102">
        <f t="shared" si="3"/>
        <v>-0.40999999999985448</v>
      </c>
      <c r="G41" s="104">
        <f t="shared" si="4"/>
        <v>26.300000000000182</v>
      </c>
      <c r="I41" s="82">
        <v>44245</v>
      </c>
      <c r="J41" s="87">
        <v>73.766900000000007</v>
      </c>
    </row>
    <row r="42" spans="2:10" x14ac:dyDescent="0.2">
      <c r="B42" s="82">
        <v>44560</v>
      </c>
      <c r="C42" s="79">
        <f t="shared" si="0"/>
        <v>7365.1399999999994</v>
      </c>
      <c r="D42" s="79">
        <f t="shared" si="1"/>
        <v>7350</v>
      </c>
      <c r="E42" s="86">
        <f t="shared" si="2"/>
        <v>7.5699999999997089E-2</v>
      </c>
      <c r="F42" s="102">
        <f t="shared" si="3"/>
        <v>15.06429999999942</v>
      </c>
      <c r="G42" s="104">
        <f t="shared" si="4"/>
        <v>15.474299999999275</v>
      </c>
      <c r="I42" s="82">
        <v>44246</v>
      </c>
      <c r="J42" s="87">
        <v>73.775499999999994</v>
      </c>
    </row>
    <row r="43" spans="2:10" x14ac:dyDescent="0.2">
      <c r="B43" s="82">
        <v>44561</v>
      </c>
      <c r="C43" s="79">
        <f t="shared" si="0"/>
        <v>7429.2599999999993</v>
      </c>
      <c r="D43" s="79">
        <f t="shared" si="1"/>
        <v>7350</v>
      </c>
      <c r="E43" s="86">
        <f t="shared" si="2"/>
        <v>0.39629999999999654</v>
      </c>
      <c r="F43" s="102">
        <f t="shared" si="3"/>
        <v>78.863699999999312</v>
      </c>
      <c r="G43" s="104">
        <f t="shared" si="4"/>
        <v>63.799399999999892</v>
      </c>
      <c r="I43" s="82">
        <v>44247</v>
      </c>
      <c r="J43" s="87">
        <v>73.971699999999998</v>
      </c>
    </row>
    <row r="44" spans="2:10" x14ac:dyDescent="0.2">
      <c r="F44" s="105" t="s">
        <v>212</v>
      </c>
      <c r="G44" s="106">
        <f>SUM(G14:G43)</f>
        <v>-59.700000000000898</v>
      </c>
      <c r="I44" s="82">
        <v>44248</v>
      </c>
      <c r="J44" s="87">
        <v>73.9833</v>
      </c>
    </row>
    <row r="45" spans="2:10" x14ac:dyDescent="0.2">
      <c r="F45" s="81" t="s">
        <v>208</v>
      </c>
      <c r="G45" s="80">
        <f>F43-F13-G44</f>
        <v>0</v>
      </c>
      <c r="I45" s="82">
        <v>44252</v>
      </c>
      <c r="J45" s="87">
        <v>73.753200000000007</v>
      </c>
    </row>
    <row r="46" spans="2:10" x14ac:dyDescent="0.2">
      <c r="I46" s="82">
        <v>44253</v>
      </c>
      <c r="J46" s="87">
        <v>73.474699999999999</v>
      </c>
    </row>
    <row r="47" spans="2:10" x14ac:dyDescent="0.2">
      <c r="I47" s="82">
        <v>44254</v>
      </c>
      <c r="J47" s="87">
        <v>74.437299999999993</v>
      </c>
    </row>
    <row r="48" spans="2:10" x14ac:dyDescent="0.2">
      <c r="I48" s="82">
        <v>44257</v>
      </c>
      <c r="J48" s="87">
        <v>74.044799999999995</v>
      </c>
    </row>
    <row r="49" spans="9:10" x14ac:dyDescent="0.2">
      <c r="I49" s="82">
        <v>44258</v>
      </c>
      <c r="J49" s="87">
        <v>74.575500000000005</v>
      </c>
    </row>
    <row r="50" spans="9:10" x14ac:dyDescent="0.2">
      <c r="I50" s="82">
        <v>44259</v>
      </c>
      <c r="J50" s="87">
        <v>73.518699999999995</v>
      </c>
    </row>
    <row r="51" spans="9:10" x14ac:dyDescent="0.2">
      <c r="I51" s="82">
        <v>44260</v>
      </c>
      <c r="J51" s="87">
        <v>73.7864</v>
      </c>
    </row>
    <row r="52" spans="9:10" x14ac:dyDescent="0.2">
      <c r="I52" s="82">
        <v>44261</v>
      </c>
      <c r="J52" s="87">
        <v>74.427499999999995</v>
      </c>
    </row>
    <row r="53" spans="9:10" x14ac:dyDescent="0.2">
      <c r="I53" s="82">
        <v>44265</v>
      </c>
      <c r="J53" s="87">
        <v>74.263999999999996</v>
      </c>
    </row>
    <row r="54" spans="9:10" x14ac:dyDescent="0.2">
      <c r="I54" s="82">
        <v>44266</v>
      </c>
      <c r="J54" s="87">
        <v>74.039299999999997</v>
      </c>
    </row>
    <row r="55" spans="9:10" x14ac:dyDescent="0.2">
      <c r="I55" s="82">
        <v>44267</v>
      </c>
      <c r="J55" s="87">
        <v>73.499600000000001</v>
      </c>
    </row>
    <row r="56" spans="9:10" x14ac:dyDescent="0.2">
      <c r="I56" s="82">
        <v>44268</v>
      </c>
      <c r="J56" s="87">
        <v>73.508099999999999</v>
      </c>
    </row>
    <row r="57" spans="9:10" x14ac:dyDescent="0.2">
      <c r="I57" s="82">
        <v>44271</v>
      </c>
      <c r="J57" s="87">
        <v>73.231700000000004</v>
      </c>
    </row>
    <row r="58" spans="9:10" x14ac:dyDescent="0.2">
      <c r="I58" s="82">
        <v>44272</v>
      </c>
      <c r="J58" s="87">
        <v>72.9619</v>
      </c>
    </row>
    <row r="59" spans="9:10" x14ac:dyDescent="0.2">
      <c r="I59" s="82">
        <v>44273</v>
      </c>
      <c r="J59" s="87">
        <v>73.101900000000001</v>
      </c>
    </row>
    <row r="60" spans="9:10" x14ac:dyDescent="0.2">
      <c r="I60" s="82">
        <v>44274</v>
      </c>
      <c r="J60" s="87">
        <v>73.658199999999994</v>
      </c>
    </row>
    <row r="61" spans="9:10" x14ac:dyDescent="0.2">
      <c r="I61" s="82">
        <v>44275</v>
      </c>
      <c r="J61" s="87">
        <v>74.138999999999996</v>
      </c>
    </row>
    <row r="62" spans="9:10" x14ac:dyDescent="0.2">
      <c r="I62" s="82">
        <v>44278</v>
      </c>
      <c r="J62" s="87">
        <v>74.608500000000006</v>
      </c>
    </row>
    <row r="63" spans="9:10" x14ac:dyDescent="0.2">
      <c r="I63" s="82">
        <v>44279</v>
      </c>
      <c r="J63" s="87">
        <v>75.358500000000006</v>
      </c>
    </row>
    <row r="64" spans="9:10" x14ac:dyDescent="0.2">
      <c r="I64" s="82">
        <v>44280</v>
      </c>
      <c r="J64" s="87">
        <v>76.153499999999994</v>
      </c>
    </row>
    <row r="65" spans="9:10" x14ac:dyDescent="0.2">
      <c r="I65" s="82">
        <v>44281</v>
      </c>
      <c r="J65" s="87">
        <v>76.174099999999996</v>
      </c>
    </row>
    <row r="66" spans="9:10" x14ac:dyDescent="0.2">
      <c r="I66" s="82">
        <v>44282</v>
      </c>
      <c r="J66" s="87">
        <v>75.757599999999996</v>
      </c>
    </row>
    <row r="67" spans="9:10" x14ac:dyDescent="0.2">
      <c r="I67" s="82">
        <v>44285</v>
      </c>
      <c r="J67" s="87">
        <v>75.828699999999998</v>
      </c>
    </row>
    <row r="68" spans="9:10" x14ac:dyDescent="0.2">
      <c r="I68" s="82">
        <v>44286</v>
      </c>
      <c r="J68" s="87">
        <v>75.702299999999994</v>
      </c>
    </row>
    <row r="69" spans="9:10" x14ac:dyDescent="0.2">
      <c r="I69" s="82">
        <v>44287</v>
      </c>
      <c r="J69" s="87">
        <v>75.637299999999996</v>
      </c>
    </row>
    <row r="70" spans="9:10" x14ac:dyDescent="0.2">
      <c r="I70" s="82">
        <v>44288</v>
      </c>
      <c r="J70" s="87">
        <v>75.807299999999998</v>
      </c>
    </row>
    <row r="71" spans="9:10" x14ac:dyDescent="0.2">
      <c r="I71" s="82">
        <v>44289</v>
      </c>
      <c r="J71" s="87">
        <v>76.073400000000007</v>
      </c>
    </row>
    <row r="72" spans="9:10" x14ac:dyDescent="0.2">
      <c r="I72" s="82">
        <v>44292</v>
      </c>
      <c r="J72" s="87">
        <v>76.605199999999996</v>
      </c>
    </row>
    <row r="73" spans="9:10" x14ac:dyDescent="0.2">
      <c r="I73" s="82">
        <v>44293</v>
      </c>
      <c r="J73" s="87">
        <v>76.380200000000002</v>
      </c>
    </row>
    <row r="74" spans="9:10" x14ac:dyDescent="0.2">
      <c r="I74" s="82">
        <v>44294</v>
      </c>
      <c r="J74" s="87">
        <v>77.772999999999996</v>
      </c>
    </row>
    <row r="75" spans="9:10" x14ac:dyDescent="0.2">
      <c r="I75" s="82">
        <v>44295</v>
      </c>
      <c r="J75" s="87">
        <v>77.101100000000002</v>
      </c>
    </row>
    <row r="76" spans="9:10" x14ac:dyDescent="0.2">
      <c r="I76" s="82">
        <v>44296</v>
      </c>
      <c r="J76" s="87">
        <v>77.165700000000001</v>
      </c>
    </row>
    <row r="77" spans="9:10" x14ac:dyDescent="0.2">
      <c r="I77" s="82">
        <v>44299</v>
      </c>
      <c r="J77" s="87">
        <v>77.510400000000004</v>
      </c>
    </row>
    <row r="78" spans="9:10" x14ac:dyDescent="0.2">
      <c r="I78" s="82">
        <v>44300</v>
      </c>
      <c r="J78" s="87">
        <v>77.253500000000003</v>
      </c>
    </row>
    <row r="79" spans="9:10" x14ac:dyDescent="0.2">
      <c r="I79" s="82">
        <v>44301</v>
      </c>
      <c r="J79" s="87">
        <v>75.682599999999994</v>
      </c>
    </row>
    <row r="80" spans="9:10" x14ac:dyDescent="0.2">
      <c r="I80" s="82">
        <v>44302</v>
      </c>
      <c r="J80" s="87">
        <v>76.980800000000002</v>
      </c>
    </row>
    <row r="81" spans="9:10" x14ac:dyDescent="0.2">
      <c r="I81" s="82">
        <v>44303</v>
      </c>
      <c r="J81" s="87">
        <v>75.5535</v>
      </c>
    </row>
    <row r="82" spans="9:10" x14ac:dyDescent="0.2">
      <c r="I82" s="82">
        <v>44306</v>
      </c>
      <c r="J82" s="87">
        <v>76.249099999999999</v>
      </c>
    </row>
    <row r="83" spans="9:10" x14ac:dyDescent="0.2">
      <c r="I83" s="82">
        <v>44307</v>
      </c>
      <c r="J83" s="87">
        <v>76.015500000000003</v>
      </c>
    </row>
    <row r="84" spans="9:10" x14ac:dyDescent="0.2">
      <c r="I84" s="82">
        <v>44308</v>
      </c>
      <c r="J84" s="87">
        <v>76.819800000000001</v>
      </c>
    </row>
    <row r="85" spans="9:10" x14ac:dyDescent="0.2">
      <c r="I85" s="82">
        <v>44309</v>
      </c>
      <c r="J85" s="87">
        <v>76.421700000000001</v>
      </c>
    </row>
    <row r="86" spans="9:10" x14ac:dyDescent="0.2">
      <c r="I86" s="82">
        <v>44310</v>
      </c>
      <c r="J86" s="87">
        <v>75.089299999999994</v>
      </c>
    </row>
    <row r="87" spans="9:10" x14ac:dyDescent="0.2">
      <c r="I87" s="82">
        <v>44313</v>
      </c>
      <c r="J87" s="87">
        <v>74.768000000000001</v>
      </c>
    </row>
    <row r="88" spans="9:10" x14ac:dyDescent="0.2">
      <c r="I88" s="82">
        <v>44314</v>
      </c>
      <c r="J88" s="87">
        <v>74.957800000000006</v>
      </c>
    </row>
    <row r="89" spans="9:10" x14ac:dyDescent="0.2">
      <c r="I89" s="82">
        <v>44315</v>
      </c>
      <c r="J89" s="87">
        <v>74.938999999999993</v>
      </c>
    </row>
    <row r="90" spans="9:10" x14ac:dyDescent="0.2">
      <c r="I90" s="82">
        <v>44316</v>
      </c>
      <c r="J90" s="87">
        <v>74.382300000000001</v>
      </c>
    </row>
    <row r="91" spans="9:10" x14ac:dyDescent="0.2">
      <c r="I91" s="82">
        <v>44317</v>
      </c>
      <c r="J91" s="87">
        <v>74.845100000000002</v>
      </c>
    </row>
    <row r="92" spans="9:10" x14ac:dyDescent="0.2">
      <c r="I92" s="82">
        <v>44321</v>
      </c>
      <c r="J92" s="87">
        <v>75.256699999999995</v>
      </c>
    </row>
    <row r="93" spans="9:10" x14ac:dyDescent="0.2">
      <c r="I93" s="82">
        <v>44322</v>
      </c>
      <c r="J93" s="87">
        <v>74.861699999999999</v>
      </c>
    </row>
    <row r="94" spans="9:10" x14ac:dyDescent="0.2">
      <c r="I94" s="82">
        <v>44323</v>
      </c>
      <c r="J94" s="87">
        <v>74.576999999999998</v>
      </c>
    </row>
    <row r="95" spans="9:10" x14ac:dyDescent="0.2">
      <c r="I95" s="82">
        <v>44324</v>
      </c>
      <c r="J95" s="87">
        <v>74.137299999999996</v>
      </c>
    </row>
    <row r="96" spans="9:10" x14ac:dyDescent="0.2">
      <c r="I96" s="82">
        <v>44328</v>
      </c>
      <c r="J96" s="87">
        <v>74.156700000000001</v>
      </c>
    </row>
    <row r="97" spans="9:10" x14ac:dyDescent="0.2">
      <c r="I97" s="82">
        <v>44329</v>
      </c>
      <c r="J97" s="87">
        <v>74.040000000000006</v>
      </c>
    </row>
    <row r="98" spans="9:10" x14ac:dyDescent="0.2">
      <c r="I98" s="82">
        <v>44330</v>
      </c>
      <c r="J98" s="87">
        <v>74.3566</v>
      </c>
    </row>
    <row r="99" spans="9:10" x14ac:dyDescent="0.2">
      <c r="I99" s="82">
        <v>44331</v>
      </c>
      <c r="J99" s="87">
        <v>73.996799999999993</v>
      </c>
    </row>
    <row r="100" spans="9:10" x14ac:dyDescent="0.2">
      <c r="I100" s="82">
        <v>44334</v>
      </c>
      <c r="J100" s="87">
        <v>73.853700000000003</v>
      </c>
    </row>
    <row r="101" spans="9:10" x14ac:dyDescent="0.2">
      <c r="I101" s="82">
        <v>44335</v>
      </c>
      <c r="J101" s="87">
        <v>73.699200000000005</v>
      </c>
    </row>
    <row r="102" spans="9:10" x14ac:dyDescent="0.2">
      <c r="I102" s="82">
        <v>44336</v>
      </c>
      <c r="J102" s="87">
        <v>73.677800000000005</v>
      </c>
    </row>
    <row r="103" spans="9:10" x14ac:dyDescent="0.2">
      <c r="I103" s="82">
        <v>44337</v>
      </c>
      <c r="J103" s="87">
        <v>73.600700000000003</v>
      </c>
    </row>
    <row r="104" spans="9:10" x14ac:dyDescent="0.2">
      <c r="I104" s="82">
        <v>44338</v>
      </c>
      <c r="J104" s="87">
        <v>73.580299999999994</v>
      </c>
    </row>
    <row r="105" spans="9:10" x14ac:dyDescent="0.2">
      <c r="I105" s="82">
        <v>44341</v>
      </c>
      <c r="J105" s="87">
        <v>73.526600000000002</v>
      </c>
    </row>
    <row r="106" spans="9:10" x14ac:dyDescent="0.2">
      <c r="I106" s="82">
        <v>44342</v>
      </c>
      <c r="J106" s="87">
        <v>73.396299999999997</v>
      </c>
    </row>
    <row r="107" spans="9:10" x14ac:dyDescent="0.2">
      <c r="I107" s="82">
        <v>44343</v>
      </c>
      <c r="J107" s="87">
        <v>73.473699999999994</v>
      </c>
    </row>
    <row r="108" spans="9:10" x14ac:dyDescent="0.2">
      <c r="I108" s="82">
        <v>44344</v>
      </c>
      <c r="J108" s="87">
        <v>73.457999999999998</v>
      </c>
    </row>
    <row r="109" spans="9:10" x14ac:dyDescent="0.2">
      <c r="I109" s="82">
        <v>44345</v>
      </c>
      <c r="J109" s="87">
        <v>73.587000000000003</v>
      </c>
    </row>
    <row r="110" spans="9:10" x14ac:dyDescent="0.2">
      <c r="I110" s="82">
        <v>44348</v>
      </c>
      <c r="J110" s="87">
        <v>73.296499999999995</v>
      </c>
    </row>
    <row r="111" spans="9:10" x14ac:dyDescent="0.2">
      <c r="I111" s="82">
        <v>44349</v>
      </c>
      <c r="J111" s="87">
        <v>73.241100000000003</v>
      </c>
    </row>
    <row r="112" spans="9:10" x14ac:dyDescent="0.2">
      <c r="I112" s="82">
        <v>44350</v>
      </c>
      <c r="J112" s="87">
        <v>73.497900000000001</v>
      </c>
    </row>
    <row r="113" spans="9:10" x14ac:dyDescent="0.2">
      <c r="I113" s="82">
        <v>44351</v>
      </c>
      <c r="J113" s="87">
        <v>73.263599999999997</v>
      </c>
    </row>
    <row r="114" spans="9:10" x14ac:dyDescent="0.2">
      <c r="I114" s="82">
        <v>44352</v>
      </c>
      <c r="J114" s="87">
        <v>73.272099999999995</v>
      </c>
    </row>
    <row r="115" spans="9:10" x14ac:dyDescent="0.2">
      <c r="I115" s="82">
        <v>44355</v>
      </c>
      <c r="J115" s="87">
        <v>72.929400000000001</v>
      </c>
    </row>
    <row r="116" spans="9:10" x14ac:dyDescent="0.2">
      <c r="I116" s="82">
        <v>44356</v>
      </c>
      <c r="J116" s="87">
        <v>72.825599999999994</v>
      </c>
    </row>
    <row r="117" spans="9:10" x14ac:dyDescent="0.2">
      <c r="I117" s="82">
        <v>44357</v>
      </c>
      <c r="J117" s="87">
        <v>72.082899999999995</v>
      </c>
    </row>
    <row r="118" spans="9:10" x14ac:dyDescent="0.2">
      <c r="I118" s="82">
        <v>44358</v>
      </c>
      <c r="J118" s="87">
        <v>72.197400000000002</v>
      </c>
    </row>
    <row r="119" spans="9:10" x14ac:dyDescent="0.2">
      <c r="I119" s="82">
        <v>44359</v>
      </c>
      <c r="J119" s="87">
        <v>71.679699999999997</v>
      </c>
    </row>
    <row r="120" spans="9:10" x14ac:dyDescent="0.2">
      <c r="I120" s="82">
        <v>44363</v>
      </c>
      <c r="J120" s="87">
        <v>71.831800000000001</v>
      </c>
    </row>
    <row r="121" spans="9:10" x14ac:dyDescent="0.2">
      <c r="I121" s="82">
        <v>44364</v>
      </c>
      <c r="J121" s="87">
        <v>72.032300000000006</v>
      </c>
    </row>
    <row r="122" spans="9:10" x14ac:dyDescent="0.2">
      <c r="I122" s="82">
        <v>44365</v>
      </c>
      <c r="J122" s="87">
        <v>72.504800000000003</v>
      </c>
    </row>
    <row r="123" spans="9:10" x14ac:dyDescent="0.2">
      <c r="I123" s="82">
        <v>44366</v>
      </c>
      <c r="J123" s="87">
        <v>72.221599999999995</v>
      </c>
    </row>
    <row r="124" spans="9:10" x14ac:dyDescent="0.2">
      <c r="I124" s="82">
        <v>44369</v>
      </c>
      <c r="J124" s="87">
        <v>73.198700000000002</v>
      </c>
    </row>
    <row r="125" spans="9:10" x14ac:dyDescent="0.2">
      <c r="I125" s="82">
        <v>44370</v>
      </c>
      <c r="J125" s="87">
        <v>73.1661</v>
      </c>
    </row>
    <row r="126" spans="9:10" x14ac:dyDescent="0.2">
      <c r="I126" s="82">
        <v>44371</v>
      </c>
      <c r="J126" s="87">
        <v>72.667100000000005</v>
      </c>
    </row>
    <row r="127" spans="9:10" x14ac:dyDescent="0.2">
      <c r="I127" s="82">
        <v>44372</v>
      </c>
      <c r="J127" s="87">
        <v>72.325999999999993</v>
      </c>
    </row>
    <row r="128" spans="9:10" x14ac:dyDescent="0.2">
      <c r="I128" s="82">
        <v>44373</v>
      </c>
      <c r="J128" s="87">
        <v>72.169399999999996</v>
      </c>
    </row>
    <row r="129" spans="9:10" x14ac:dyDescent="0.2">
      <c r="I129" s="82">
        <v>44376</v>
      </c>
      <c r="J129" s="87">
        <v>72.177700000000002</v>
      </c>
    </row>
    <row r="130" spans="9:10" x14ac:dyDescent="0.2">
      <c r="I130" s="82">
        <v>44377</v>
      </c>
      <c r="J130" s="87">
        <v>72.372299999999996</v>
      </c>
    </row>
    <row r="131" spans="9:10" x14ac:dyDescent="0.2">
      <c r="I131" s="82">
        <v>44378</v>
      </c>
      <c r="J131" s="87">
        <v>72.723399999999998</v>
      </c>
    </row>
    <row r="132" spans="9:10" x14ac:dyDescent="0.2">
      <c r="I132" s="82">
        <v>44379</v>
      </c>
      <c r="J132" s="87">
        <v>72.908600000000007</v>
      </c>
    </row>
    <row r="133" spans="9:10" x14ac:dyDescent="0.2">
      <c r="I133" s="82">
        <v>44380</v>
      </c>
      <c r="J133" s="87">
        <v>73.617500000000007</v>
      </c>
    </row>
    <row r="134" spans="9:10" x14ac:dyDescent="0.2">
      <c r="I134" s="82">
        <v>44383</v>
      </c>
      <c r="J134" s="87">
        <v>73.353999999999999</v>
      </c>
    </row>
    <row r="135" spans="9:10" x14ac:dyDescent="0.2">
      <c r="I135" s="82">
        <v>44384</v>
      </c>
      <c r="J135" s="87">
        <v>73.266000000000005</v>
      </c>
    </row>
    <row r="136" spans="9:10" x14ac:dyDescent="0.2">
      <c r="I136" s="82">
        <v>44385</v>
      </c>
      <c r="J136" s="87">
        <v>74.058000000000007</v>
      </c>
    </row>
    <row r="137" spans="9:10" x14ac:dyDescent="0.2">
      <c r="I137" s="82">
        <v>44386</v>
      </c>
      <c r="J137" s="87">
        <v>75.1952</v>
      </c>
    </row>
    <row r="138" spans="9:10" x14ac:dyDescent="0.2">
      <c r="I138" s="82">
        <v>44387</v>
      </c>
      <c r="J138" s="87">
        <v>74.467500000000001</v>
      </c>
    </row>
    <row r="139" spans="9:10" x14ac:dyDescent="0.2">
      <c r="I139" s="82">
        <v>44390</v>
      </c>
      <c r="J139" s="87">
        <v>74.633600000000001</v>
      </c>
    </row>
    <row r="140" spans="9:10" x14ac:dyDescent="0.2">
      <c r="I140" s="82">
        <v>44391</v>
      </c>
      <c r="J140" s="87">
        <v>74.058899999999994</v>
      </c>
    </row>
    <row r="141" spans="9:10" x14ac:dyDescent="0.2">
      <c r="I141" s="82">
        <v>44392</v>
      </c>
      <c r="J141" s="87">
        <v>74.123599999999996</v>
      </c>
    </row>
    <row r="142" spans="9:10" x14ac:dyDescent="0.2">
      <c r="I142" s="82">
        <v>44393</v>
      </c>
      <c r="J142" s="87">
        <v>74.219700000000003</v>
      </c>
    </row>
    <row r="143" spans="9:10" x14ac:dyDescent="0.2">
      <c r="I143" s="82">
        <v>44394</v>
      </c>
      <c r="J143" s="87">
        <v>74.165599999999998</v>
      </c>
    </row>
    <row r="144" spans="9:10" x14ac:dyDescent="0.2">
      <c r="I144" s="82">
        <v>44397</v>
      </c>
      <c r="J144" s="87">
        <v>74.346299999999999</v>
      </c>
    </row>
    <row r="145" spans="9:10" x14ac:dyDescent="0.2">
      <c r="I145" s="82">
        <v>44398</v>
      </c>
      <c r="J145" s="87">
        <v>74.491</v>
      </c>
    </row>
    <row r="146" spans="9:10" x14ac:dyDescent="0.2">
      <c r="I146" s="82">
        <v>44399</v>
      </c>
      <c r="J146" s="87">
        <v>74.494699999999995</v>
      </c>
    </row>
    <row r="147" spans="9:10" x14ac:dyDescent="0.2">
      <c r="I147" s="82">
        <v>44400</v>
      </c>
      <c r="J147" s="87">
        <v>73.694500000000005</v>
      </c>
    </row>
    <row r="148" spans="9:10" x14ac:dyDescent="0.2">
      <c r="I148" s="82">
        <v>44401</v>
      </c>
      <c r="J148" s="87">
        <v>73.766300000000001</v>
      </c>
    </row>
    <row r="149" spans="9:10" x14ac:dyDescent="0.2">
      <c r="I149" s="82">
        <v>44404</v>
      </c>
      <c r="J149" s="87">
        <v>74.097999999999999</v>
      </c>
    </row>
    <row r="150" spans="9:10" x14ac:dyDescent="0.2">
      <c r="I150" s="82">
        <v>44405</v>
      </c>
      <c r="J150" s="87">
        <v>73.847099999999998</v>
      </c>
    </row>
    <row r="151" spans="9:10" x14ac:dyDescent="0.2">
      <c r="I151" s="82">
        <v>44406</v>
      </c>
      <c r="J151" s="87">
        <v>73.608800000000002</v>
      </c>
    </row>
    <row r="152" spans="9:10" x14ac:dyDescent="0.2">
      <c r="I152" s="82">
        <v>44407</v>
      </c>
      <c r="J152" s="87">
        <v>73.190399999999997</v>
      </c>
    </row>
    <row r="153" spans="9:10" x14ac:dyDescent="0.2">
      <c r="I153" s="82">
        <v>44408</v>
      </c>
      <c r="J153" s="87">
        <v>73.138800000000003</v>
      </c>
    </row>
    <row r="154" spans="9:10" x14ac:dyDescent="0.2">
      <c r="I154" s="82">
        <v>44411</v>
      </c>
      <c r="J154" s="87">
        <v>73.015600000000006</v>
      </c>
    </row>
    <row r="155" spans="9:10" x14ac:dyDescent="0.2">
      <c r="I155" s="82">
        <v>44412</v>
      </c>
      <c r="J155" s="87">
        <v>72.872399999999999</v>
      </c>
    </row>
    <row r="156" spans="9:10" x14ac:dyDescent="0.2">
      <c r="I156" s="82">
        <v>44413</v>
      </c>
      <c r="J156" s="87">
        <v>72.785700000000006</v>
      </c>
    </row>
    <row r="157" spans="9:10" x14ac:dyDescent="0.2">
      <c r="I157" s="82">
        <v>44414</v>
      </c>
      <c r="J157" s="87">
        <v>73.168000000000006</v>
      </c>
    </row>
    <row r="158" spans="9:10" x14ac:dyDescent="0.2">
      <c r="I158" s="82">
        <v>44415</v>
      </c>
      <c r="J158" s="87">
        <v>73.130399999999995</v>
      </c>
    </row>
    <row r="159" spans="9:10" x14ac:dyDescent="0.2">
      <c r="I159" s="82">
        <v>44418</v>
      </c>
      <c r="J159" s="87">
        <v>73.507800000000003</v>
      </c>
    </row>
    <row r="160" spans="9:10" x14ac:dyDescent="0.2">
      <c r="I160" s="82">
        <v>44419</v>
      </c>
      <c r="J160" s="87">
        <v>73.596199999999996</v>
      </c>
    </row>
    <row r="161" spans="9:10" x14ac:dyDescent="0.2">
      <c r="I161" s="82">
        <v>44420</v>
      </c>
      <c r="J161" s="87">
        <v>73.969499999999996</v>
      </c>
    </row>
    <row r="162" spans="9:10" x14ac:dyDescent="0.2">
      <c r="I162" s="82">
        <v>44421</v>
      </c>
      <c r="J162" s="87">
        <v>73.567099999999996</v>
      </c>
    </row>
    <row r="163" spans="9:10" x14ac:dyDescent="0.2">
      <c r="I163" s="82">
        <v>44422</v>
      </c>
      <c r="J163" s="87">
        <v>73.472099999999998</v>
      </c>
    </row>
    <row r="164" spans="9:10" x14ac:dyDescent="0.2">
      <c r="I164" s="82">
        <v>44425</v>
      </c>
      <c r="J164" s="87">
        <v>73.391999999999996</v>
      </c>
    </row>
    <row r="165" spans="9:10" x14ac:dyDescent="0.2">
      <c r="I165" s="82">
        <v>44426</v>
      </c>
      <c r="J165" s="87">
        <v>73.475300000000004</v>
      </c>
    </row>
    <row r="166" spans="9:10" x14ac:dyDescent="0.2">
      <c r="I166" s="82">
        <v>44427</v>
      </c>
      <c r="J166" s="87">
        <v>73.463300000000004</v>
      </c>
    </row>
    <row r="167" spans="9:10" x14ac:dyDescent="0.2">
      <c r="I167" s="82">
        <v>44428</v>
      </c>
      <c r="J167" s="87">
        <v>74.150300000000001</v>
      </c>
    </row>
    <row r="168" spans="9:10" x14ac:dyDescent="0.2">
      <c r="I168" s="82">
        <v>44429</v>
      </c>
      <c r="J168" s="87">
        <v>74.364000000000004</v>
      </c>
    </row>
    <row r="169" spans="9:10" x14ac:dyDescent="0.2">
      <c r="I169" s="82">
        <v>44432</v>
      </c>
      <c r="J169" s="87">
        <v>74.066599999999994</v>
      </c>
    </row>
    <row r="170" spans="9:10" x14ac:dyDescent="0.2">
      <c r="I170" s="82">
        <v>44433</v>
      </c>
      <c r="J170" s="87">
        <v>73.9465</v>
      </c>
    </row>
    <row r="171" spans="9:10" x14ac:dyDescent="0.2">
      <c r="I171" s="82">
        <v>44434</v>
      </c>
      <c r="J171" s="87">
        <v>73.742800000000003</v>
      </c>
    </row>
    <row r="172" spans="9:10" x14ac:dyDescent="0.2">
      <c r="I172" s="82">
        <v>44435</v>
      </c>
      <c r="J172" s="87">
        <v>73.990799999999993</v>
      </c>
    </row>
    <row r="173" spans="9:10" x14ac:dyDescent="0.2">
      <c r="I173" s="82">
        <v>44436</v>
      </c>
      <c r="J173" s="87">
        <v>73.986599999999996</v>
      </c>
    </row>
    <row r="174" spans="9:10" x14ac:dyDescent="0.2">
      <c r="I174" s="82">
        <v>44439</v>
      </c>
      <c r="J174" s="87">
        <v>73.574399999999997</v>
      </c>
    </row>
    <row r="175" spans="9:10" x14ac:dyDescent="0.2">
      <c r="I175" s="82">
        <v>44440</v>
      </c>
      <c r="J175" s="87">
        <v>73.278099999999995</v>
      </c>
    </row>
    <row r="176" spans="9:10" x14ac:dyDescent="0.2">
      <c r="I176" s="82">
        <v>44441</v>
      </c>
      <c r="J176" s="87">
        <v>73.191199999999995</v>
      </c>
    </row>
    <row r="177" spans="9:10" x14ac:dyDescent="0.2">
      <c r="I177" s="82">
        <v>44442</v>
      </c>
      <c r="J177" s="87">
        <v>72.849100000000007</v>
      </c>
    </row>
    <row r="178" spans="9:10" x14ac:dyDescent="0.2">
      <c r="I178" s="82">
        <v>44443</v>
      </c>
      <c r="J178" s="87">
        <v>72.854500000000002</v>
      </c>
    </row>
    <row r="179" spans="9:10" x14ac:dyDescent="0.2">
      <c r="I179" s="82">
        <v>44446</v>
      </c>
      <c r="J179" s="87">
        <v>72.953800000000001</v>
      </c>
    </row>
    <row r="180" spans="9:10" x14ac:dyDescent="0.2">
      <c r="I180" s="82">
        <v>44447</v>
      </c>
      <c r="J180" s="87">
        <v>73.190899999999999</v>
      </c>
    </row>
    <row r="181" spans="9:10" x14ac:dyDescent="0.2">
      <c r="I181" s="82">
        <v>44448</v>
      </c>
      <c r="J181" s="87">
        <v>73.442099999999996</v>
      </c>
    </row>
    <row r="182" spans="9:10" x14ac:dyDescent="0.2">
      <c r="I182" s="82">
        <v>44449</v>
      </c>
      <c r="J182" s="87">
        <v>73.129000000000005</v>
      </c>
    </row>
    <row r="183" spans="9:10" x14ac:dyDescent="0.2">
      <c r="I183" s="82">
        <v>44450</v>
      </c>
      <c r="J183" s="87">
        <v>72.760000000000005</v>
      </c>
    </row>
    <row r="184" spans="9:10" x14ac:dyDescent="0.2">
      <c r="I184" s="82">
        <v>44453</v>
      </c>
      <c r="J184" s="87">
        <v>73.084100000000007</v>
      </c>
    </row>
    <row r="185" spans="9:10" x14ac:dyDescent="0.2">
      <c r="I185" s="82">
        <v>44454</v>
      </c>
      <c r="J185" s="87">
        <v>72.717100000000002</v>
      </c>
    </row>
    <row r="186" spans="9:10" x14ac:dyDescent="0.2">
      <c r="I186" s="82">
        <v>44455</v>
      </c>
      <c r="J186" s="87">
        <v>72.852000000000004</v>
      </c>
    </row>
    <row r="187" spans="9:10" x14ac:dyDescent="0.2">
      <c r="I187" s="82">
        <v>44456</v>
      </c>
      <c r="J187" s="87">
        <v>72.432900000000004</v>
      </c>
    </row>
    <row r="188" spans="9:10" x14ac:dyDescent="0.2">
      <c r="I188" s="82">
        <v>44457</v>
      </c>
      <c r="J188" s="87">
        <v>72.560199999999995</v>
      </c>
    </row>
    <row r="189" spans="9:10" x14ac:dyDescent="0.2">
      <c r="I189" s="82">
        <v>44460</v>
      </c>
      <c r="J189" s="87">
        <v>73.331500000000005</v>
      </c>
    </row>
    <row r="190" spans="9:10" x14ac:dyDescent="0.2">
      <c r="I190" s="82">
        <v>44461</v>
      </c>
      <c r="J190" s="87">
        <v>73.206699999999998</v>
      </c>
    </row>
    <row r="191" spans="9:10" x14ac:dyDescent="0.2">
      <c r="I191" s="82">
        <v>44462</v>
      </c>
      <c r="J191" s="87">
        <v>72.880600000000001</v>
      </c>
    </row>
    <row r="192" spans="9:10" x14ac:dyDescent="0.2">
      <c r="I192" s="82">
        <v>44463</v>
      </c>
      <c r="J192" s="87">
        <v>72.724500000000006</v>
      </c>
    </row>
    <row r="193" spans="9:10" x14ac:dyDescent="0.2">
      <c r="I193" s="82">
        <v>44464</v>
      </c>
      <c r="J193" s="87">
        <v>73.008099999999999</v>
      </c>
    </row>
    <row r="194" spans="9:10" x14ac:dyDescent="0.2">
      <c r="I194" s="82">
        <v>44467</v>
      </c>
      <c r="J194" s="87">
        <v>72.661299999999997</v>
      </c>
    </row>
    <row r="195" spans="9:10" x14ac:dyDescent="0.2">
      <c r="I195" s="82">
        <v>44468</v>
      </c>
      <c r="J195" s="87">
        <v>72.508300000000006</v>
      </c>
    </row>
    <row r="196" spans="9:10" x14ac:dyDescent="0.2">
      <c r="I196" s="82">
        <v>44469</v>
      </c>
      <c r="J196" s="87">
        <v>72.760800000000003</v>
      </c>
    </row>
    <row r="197" spans="9:10" x14ac:dyDescent="0.2">
      <c r="I197" s="82">
        <v>44470</v>
      </c>
      <c r="J197" s="87">
        <v>72.664199999999994</v>
      </c>
    </row>
    <row r="198" spans="9:10" x14ac:dyDescent="0.2">
      <c r="I198" s="82">
        <v>44471</v>
      </c>
      <c r="J198" s="87">
        <v>72.921499999999995</v>
      </c>
    </row>
    <row r="199" spans="9:10" x14ac:dyDescent="0.2">
      <c r="I199" s="82">
        <v>44474</v>
      </c>
      <c r="J199" s="87">
        <v>72.923900000000003</v>
      </c>
    </row>
    <row r="200" spans="9:10" x14ac:dyDescent="0.2">
      <c r="I200" s="82">
        <v>44475</v>
      </c>
      <c r="J200" s="87">
        <v>72.568600000000004</v>
      </c>
    </row>
    <row r="201" spans="9:10" x14ac:dyDescent="0.2">
      <c r="I201" s="82">
        <v>44476</v>
      </c>
      <c r="J201" s="87">
        <v>72.568200000000004</v>
      </c>
    </row>
    <row r="202" spans="9:10" x14ac:dyDescent="0.2">
      <c r="I202" s="82">
        <v>44477</v>
      </c>
      <c r="J202" s="87">
        <v>72.285399999999996</v>
      </c>
    </row>
    <row r="203" spans="9:10" x14ac:dyDescent="0.2">
      <c r="I203" s="82">
        <v>44478</v>
      </c>
      <c r="J203" s="87">
        <v>71.988200000000006</v>
      </c>
    </row>
    <row r="204" spans="9:10" x14ac:dyDescent="0.2">
      <c r="I204" s="82">
        <v>44481</v>
      </c>
      <c r="J204" s="87">
        <v>71.637299999999996</v>
      </c>
    </row>
    <row r="205" spans="9:10" x14ac:dyDescent="0.2">
      <c r="I205" s="82">
        <v>44482</v>
      </c>
      <c r="J205" s="87">
        <v>71.880099999999999</v>
      </c>
    </row>
    <row r="206" spans="9:10" x14ac:dyDescent="0.2">
      <c r="I206" s="82">
        <v>44483</v>
      </c>
      <c r="J206" s="87">
        <v>71.857699999999994</v>
      </c>
    </row>
    <row r="207" spans="9:10" x14ac:dyDescent="0.2">
      <c r="I207" s="82">
        <v>44484</v>
      </c>
      <c r="J207" s="87">
        <v>71.784599999999998</v>
      </c>
    </row>
    <row r="208" spans="9:10" x14ac:dyDescent="0.2">
      <c r="I208" s="82">
        <v>44485</v>
      </c>
      <c r="J208" s="87">
        <v>71.237099999999998</v>
      </c>
    </row>
    <row r="209" spans="9:10" x14ac:dyDescent="0.2">
      <c r="I209" s="82">
        <v>44488</v>
      </c>
      <c r="J209" s="87">
        <v>71.171400000000006</v>
      </c>
    </row>
    <row r="210" spans="9:10" x14ac:dyDescent="0.2">
      <c r="I210" s="82">
        <v>44489</v>
      </c>
      <c r="J210" s="87">
        <v>70.967399999999998</v>
      </c>
    </row>
    <row r="211" spans="9:10" x14ac:dyDescent="0.2">
      <c r="I211" s="82">
        <v>44490</v>
      </c>
      <c r="J211" s="87">
        <v>71.055499999999995</v>
      </c>
    </row>
    <row r="212" spans="9:10" x14ac:dyDescent="0.2">
      <c r="I212" s="82">
        <v>44491</v>
      </c>
      <c r="J212" s="87">
        <v>70.990399999999994</v>
      </c>
    </row>
    <row r="213" spans="9:10" x14ac:dyDescent="0.2">
      <c r="I213" s="82">
        <v>44492</v>
      </c>
      <c r="J213" s="87">
        <v>70.862300000000005</v>
      </c>
    </row>
    <row r="214" spans="9:10" x14ac:dyDescent="0.2">
      <c r="I214" s="82">
        <v>44495</v>
      </c>
      <c r="J214" s="87">
        <v>70.134500000000003</v>
      </c>
    </row>
    <row r="215" spans="9:10" x14ac:dyDescent="0.2">
      <c r="I215" s="82">
        <v>44496</v>
      </c>
      <c r="J215" s="87">
        <v>69.552599999999998</v>
      </c>
    </row>
    <row r="216" spans="9:10" x14ac:dyDescent="0.2">
      <c r="I216" s="82">
        <v>44497</v>
      </c>
      <c r="J216" s="87">
        <v>69.810400000000001</v>
      </c>
    </row>
    <row r="217" spans="9:10" x14ac:dyDescent="0.2">
      <c r="I217" s="82">
        <v>44498</v>
      </c>
      <c r="J217" s="87">
        <v>70.520700000000005</v>
      </c>
    </row>
    <row r="218" spans="9:10" x14ac:dyDescent="0.2">
      <c r="I218" s="82">
        <v>44499</v>
      </c>
      <c r="J218" s="87">
        <v>70.52</v>
      </c>
    </row>
    <row r="219" spans="9:10" x14ac:dyDescent="0.2">
      <c r="I219" s="82">
        <v>44502</v>
      </c>
      <c r="J219" s="87">
        <v>71.086299999999994</v>
      </c>
    </row>
    <row r="220" spans="9:10" x14ac:dyDescent="0.2">
      <c r="I220" s="82">
        <v>44503</v>
      </c>
      <c r="J220" s="87">
        <v>71.478300000000004</v>
      </c>
    </row>
    <row r="221" spans="9:10" x14ac:dyDescent="0.2">
      <c r="I221" s="82">
        <v>44504</v>
      </c>
      <c r="J221" s="87">
        <v>71.4876</v>
      </c>
    </row>
    <row r="222" spans="9:10" x14ac:dyDescent="0.2">
      <c r="I222" s="82">
        <v>44509</v>
      </c>
      <c r="J222" s="87">
        <v>71.397499999999994</v>
      </c>
    </row>
    <row r="223" spans="9:10" x14ac:dyDescent="0.2">
      <c r="I223" s="82">
        <v>44510</v>
      </c>
      <c r="J223" s="87">
        <v>71.286600000000007</v>
      </c>
    </row>
    <row r="224" spans="9:10" x14ac:dyDescent="0.2">
      <c r="I224" s="82">
        <v>44511</v>
      </c>
      <c r="J224" s="87">
        <v>70.694999999999993</v>
      </c>
    </row>
    <row r="225" spans="9:10" x14ac:dyDescent="0.2">
      <c r="I225" s="82">
        <v>44512</v>
      </c>
      <c r="J225" s="87">
        <v>71.196399999999997</v>
      </c>
    </row>
    <row r="226" spans="9:10" x14ac:dyDescent="0.2">
      <c r="I226" s="82">
        <v>44513</v>
      </c>
      <c r="J226" s="87">
        <v>71.811800000000005</v>
      </c>
    </row>
    <row r="227" spans="9:10" x14ac:dyDescent="0.2">
      <c r="I227" s="82">
        <v>44516</v>
      </c>
      <c r="J227" s="87">
        <v>72.272400000000005</v>
      </c>
    </row>
    <row r="228" spans="9:10" x14ac:dyDescent="0.2">
      <c r="I228" s="82">
        <v>44517</v>
      </c>
      <c r="J228" s="87">
        <v>72.555300000000003</v>
      </c>
    </row>
    <row r="229" spans="9:10" x14ac:dyDescent="0.2">
      <c r="I229" s="82">
        <v>44518</v>
      </c>
      <c r="J229" s="87">
        <v>72.822800000000001</v>
      </c>
    </row>
    <row r="230" spans="9:10" x14ac:dyDescent="0.2">
      <c r="I230" s="82">
        <v>44519</v>
      </c>
      <c r="J230" s="87">
        <v>72.602199999999996</v>
      </c>
    </row>
    <row r="231" spans="9:10" x14ac:dyDescent="0.2">
      <c r="I231" s="82">
        <v>44520</v>
      </c>
      <c r="J231" s="87">
        <v>72.761700000000005</v>
      </c>
    </row>
    <row r="232" spans="9:10" x14ac:dyDescent="0.2">
      <c r="I232" s="82">
        <v>44523</v>
      </c>
      <c r="J232" s="87">
        <v>73.450599999999994</v>
      </c>
    </row>
    <row r="233" spans="9:10" x14ac:dyDescent="0.2">
      <c r="I233" s="82">
        <v>44524</v>
      </c>
      <c r="J233" s="87">
        <v>74.832700000000003</v>
      </c>
    </row>
    <row r="234" spans="9:10" x14ac:dyDescent="0.2">
      <c r="I234" s="82">
        <v>44525</v>
      </c>
      <c r="J234" s="87">
        <v>74.372600000000006</v>
      </c>
    </row>
    <row r="235" spans="9:10" x14ac:dyDescent="0.2">
      <c r="I235" s="82">
        <v>44526</v>
      </c>
      <c r="J235" s="87">
        <v>74.600399999999993</v>
      </c>
    </row>
    <row r="236" spans="9:10" x14ac:dyDescent="0.2">
      <c r="I236" s="82">
        <v>44527</v>
      </c>
      <c r="J236" s="87">
        <v>75.587299999999999</v>
      </c>
    </row>
    <row r="237" spans="9:10" x14ac:dyDescent="0.2">
      <c r="I237" s="82">
        <v>44530</v>
      </c>
      <c r="J237" s="87">
        <v>74.981800000000007</v>
      </c>
    </row>
    <row r="238" spans="9:10" x14ac:dyDescent="0.2">
      <c r="I238" s="82">
        <v>44531</v>
      </c>
      <c r="J238" s="87">
        <v>74.892600000000002</v>
      </c>
    </row>
    <row r="239" spans="9:10" x14ac:dyDescent="0.2">
      <c r="I239" s="82">
        <v>44532</v>
      </c>
      <c r="J239" s="87">
        <v>73.974599999999995</v>
      </c>
    </row>
    <row r="240" spans="9:10" x14ac:dyDescent="0.2">
      <c r="I240" s="82">
        <v>44533</v>
      </c>
      <c r="J240" s="87">
        <v>74.063699999999997</v>
      </c>
    </row>
    <row r="241" spans="9:10" x14ac:dyDescent="0.2">
      <c r="I241" s="82">
        <v>44534</v>
      </c>
      <c r="J241" s="87">
        <v>73.742599999999996</v>
      </c>
    </row>
    <row r="242" spans="9:10" x14ac:dyDescent="0.2">
      <c r="I242" s="82">
        <v>44537</v>
      </c>
      <c r="J242" s="87">
        <v>73.669399999999996</v>
      </c>
    </row>
    <row r="243" spans="9:10" x14ac:dyDescent="0.2">
      <c r="I243" s="82">
        <v>44538</v>
      </c>
      <c r="J243" s="87">
        <v>74.139899999999997</v>
      </c>
    </row>
    <row r="244" spans="9:10" x14ac:dyDescent="0.2">
      <c r="I244" s="82">
        <v>44539</v>
      </c>
      <c r="J244" s="87">
        <v>73.845299999999995</v>
      </c>
    </row>
    <row r="245" spans="9:10" x14ac:dyDescent="0.2">
      <c r="I245" s="82">
        <v>44540</v>
      </c>
      <c r="J245" s="87">
        <v>73.599800000000002</v>
      </c>
    </row>
    <row r="246" spans="9:10" x14ac:dyDescent="0.2">
      <c r="I246" s="82">
        <v>44541</v>
      </c>
      <c r="J246" s="87">
        <v>73.605900000000005</v>
      </c>
    </row>
    <row r="247" spans="9:10" x14ac:dyDescent="0.2">
      <c r="I247" s="82">
        <v>44544</v>
      </c>
      <c r="J247" s="87">
        <v>73.410700000000006</v>
      </c>
    </row>
    <row r="248" spans="9:10" x14ac:dyDescent="0.2">
      <c r="I248" s="82">
        <v>44545</v>
      </c>
      <c r="J248" s="87">
        <v>73.469800000000006</v>
      </c>
    </row>
    <row r="249" spans="9:10" x14ac:dyDescent="0.2">
      <c r="I249" s="82">
        <v>44546</v>
      </c>
      <c r="J249" s="87">
        <v>73.850999999999999</v>
      </c>
    </row>
    <row r="250" spans="9:10" x14ac:dyDescent="0.2">
      <c r="I250" s="82">
        <v>44547</v>
      </c>
      <c r="J250" s="87">
        <v>73.570800000000006</v>
      </c>
    </row>
    <row r="251" spans="9:10" x14ac:dyDescent="0.2">
      <c r="I251" s="82">
        <v>44548</v>
      </c>
      <c r="J251" s="87">
        <v>73.733000000000004</v>
      </c>
    </row>
    <row r="252" spans="9:10" x14ac:dyDescent="0.2">
      <c r="I252" s="82">
        <v>44551</v>
      </c>
      <c r="J252" s="87">
        <v>74.294700000000006</v>
      </c>
    </row>
    <row r="253" spans="9:10" x14ac:dyDescent="0.2">
      <c r="I253" s="82">
        <v>44552</v>
      </c>
      <c r="J253" s="87">
        <v>73.820599999999999</v>
      </c>
    </row>
    <row r="254" spans="9:10" x14ac:dyDescent="0.2">
      <c r="I254" s="82">
        <v>44553</v>
      </c>
      <c r="J254" s="87">
        <v>73.790099999999995</v>
      </c>
    </row>
    <row r="255" spans="9:10" x14ac:dyDescent="0.2">
      <c r="I255" s="82">
        <v>44554</v>
      </c>
      <c r="J255" s="87">
        <v>73.3583</v>
      </c>
    </row>
    <row r="256" spans="9:10" x14ac:dyDescent="0.2">
      <c r="I256" s="82">
        <v>44555</v>
      </c>
      <c r="J256" s="87">
        <v>73.188599999999994</v>
      </c>
    </row>
    <row r="257" spans="9:10" x14ac:dyDescent="0.2">
      <c r="I257" s="82">
        <v>44558</v>
      </c>
      <c r="J257" s="87">
        <v>73.232900000000001</v>
      </c>
    </row>
    <row r="258" spans="9:10" x14ac:dyDescent="0.2">
      <c r="I258" s="82">
        <v>44559</v>
      </c>
      <c r="J258" s="87">
        <v>73.495900000000006</v>
      </c>
    </row>
    <row r="259" spans="9:10" x14ac:dyDescent="0.2">
      <c r="I259" s="82">
        <v>44560</v>
      </c>
      <c r="J259" s="87">
        <v>73.651399999999995</v>
      </c>
    </row>
    <row r="260" spans="9:10" x14ac:dyDescent="0.2">
      <c r="I260" s="82">
        <v>44561</v>
      </c>
      <c r="J260" s="87">
        <v>74.292599999999993</v>
      </c>
    </row>
  </sheetData>
  <sortState xmlns:xlrd2="http://schemas.microsoft.com/office/spreadsheetml/2017/richdata2" ref="I16:J263">
    <sortCondition ref="I16"/>
  </sortState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</sheetPr>
  <dimension ref="C2:AL95"/>
  <sheetViews>
    <sheetView zoomScale="80" zoomScaleNormal="80" workbookViewId="0">
      <selection activeCell="C5" sqref="C5"/>
    </sheetView>
  </sheetViews>
  <sheetFormatPr defaultColWidth="8.77734375" defaultRowHeight="10.199999999999999" x14ac:dyDescent="0.2"/>
  <cols>
    <col min="1" max="2" width="4.44140625" style="1" customWidth="1"/>
    <col min="3" max="4" width="13.5546875" style="1" customWidth="1"/>
    <col min="5" max="6" width="8.77734375" style="1"/>
    <col min="7" max="7" width="10.33203125" style="1" customWidth="1"/>
    <col min="8" max="8" width="2.5546875" style="1" customWidth="1"/>
    <col min="9" max="9" width="13.88671875" style="1" customWidth="1"/>
    <col min="10" max="10" width="13.5546875" style="1" customWidth="1"/>
    <col min="11" max="12" width="8.77734375" style="1"/>
    <col min="13" max="13" width="5.21875" style="1" customWidth="1"/>
    <col min="14" max="14" width="2.5546875" style="1" customWidth="1"/>
    <col min="15" max="15" width="14.33203125" style="1" customWidth="1"/>
    <col min="16" max="17" width="13.5546875" style="1" customWidth="1"/>
    <col min="18" max="18" width="8.77734375" style="1"/>
    <col min="19" max="19" width="2.5546875" style="1" customWidth="1"/>
    <col min="20" max="20" width="14.88671875" style="1" customWidth="1"/>
    <col min="21" max="21" width="13.5546875" style="1" customWidth="1"/>
    <col min="22" max="24" width="8.77734375" style="1"/>
    <col min="25" max="25" width="8.77734375" style="10"/>
    <col min="26" max="26" width="15" style="1" customWidth="1"/>
    <col min="27" max="27" width="13.5546875" style="1" customWidth="1"/>
    <col min="28" max="28" width="8.77734375" style="1"/>
    <col min="29" max="29" width="5.21875" style="1" customWidth="1"/>
    <col min="30" max="30" width="14.88671875" style="1" customWidth="1"/>
    <col min="31" max="31" width="13.5546875" style="1" customWidth="1"/>
    <col min="32" max="33" width="8.77734375" style="1"/>
    <col min="34" max="34" width="14.21875" style="1" customWidth="1"/>
    <col min="35" max="16384" width="8.77734375" style="1"/>
  </cols>
  <sheetData>
    <row r="2" spans="3:36" s="4" customFormat="1" x14ac:dyDescent="0.2">
      <c r="C2" s="4" t="s">
        <v>12</v>
      </c>
      <c r="I2" s="4" t="s">
        <v>13</v>
      </c>
      <c r="O2" s="4" t="s">
        <v>10</v>
      </c>
      <c r="T2" s="4" t="s">
        <v>11</v>
      </c>
      <c r="Y2" s="9"/>
      <c r="Z2" s="4" t="s">
        <v>12</v>
      </c>
      <c r="AD2" s="4" t="s">
        <v>11</v>
      </c>
      <c r="AG2" s="4" t="s">
        <v>14</v>
      </c>
    </row>
    <row r="4" spans="3:36" x14ac:dyDescent="0.2">
      <c r="C4" s="1" t="s">
        <v>15</v>
      </c>
      <c r="I4" s="1" t="s">
        <v>15</v>
      </c>
      <c r="O4" s="1" t="s">
        <v>15</v>
      </c>
      <c r="T4" s="1" t="s">
        <v>15</v>
      </c>
      <c r="Z4" s="1" t="s">
        <v>15</v>
      </c>
      <c r="AD4" s="1" t="s">
        <v>15</v>
      </c>
    </row>
    <row r="5" spans="3:36" x14ac:dyDescent="0.2">
      <c r="C5" s="1" t="s">
        <v>16</v>
      </c>
      <c r="D5" s="6">
        <v>44531</v>
      </c>
      <c r="I5" s="1" t="s">
        <v>16</v>
      </c>
      <c r="J5" s="6">
        <f>$D5</f>
        <v>44531</v>
      </c>
      <c r="K5" s="6"/>
      <c r="O5" s="1" t="s">
        <v>16</v>
      </c>
      <c r="Q5" s="6">
        <f>$D5</f>
        <v>44531</v>
      </c>
      <c r="T5" s="1" t="s">
        <v>16</v>
      </c>
      <c r="U5" s="6">
        <f>$D5</f>
        <v>44531</v>
      </c>
      <c r="Z5" s="1" t="s">
        <v>16</v>
      </c>
      <c r="AA5" s="6">
        <v>44531</v>
      </c>
      <c r="AD5" s="1" t="s">
        <v>16</v>
      </c>
      <c r="AE5" s="6">
        <f>$D5</f>
        <v>44531</v>
      </c>
    </row>
    <row r="6" spans="3:36" x14ac:dyDescent="0.2">
      <c r="C6" s="1" t="s">
        <v>17</v>
      </c>
      <c r="D6" s="6">
        <v>44561</v>
      </c>
      <c r="I6" s="1" t="s">
        <v>17</v>
      </c>
      <c r="J6" s="6">
        <f t="shared" ref="J6:J10" si="0">$D6</f>
        <v>44561</v>
      </c>
      <c r="K6" s="6"/>
      <c r="O6" s="1" t="s">
        <v>17</v>
      </c>
      <c r="Q6" s="6">
        <f t="shared" ref="Q6:Q10" si="1">$D6</f>
        <v>44561</v>
      </c>
      <c r="T6" s="1" t="s">
        <v>17</v>
      </c>
      <c r="U6" s="6">
        <f t="shared" ref="U6:U10" si="2">$D6</f>
        <v>44561</v>
      </c>
      <c r="Z6" s="1" t="s">
        <v>17</v>
      </c>
      <c r="AA6" s="6">
        <v>44561</v>
      </c>
      <c r="AD6" s="1" t="s">
        <v>17</v>
      </c>
      <c r="AE6" s="6">
        <f t="shared" ref="AE6:AE10" si="3">$D6</f>
        <v>44561</v>
      </c>
    </row>
    <row r="7" spans="3:36" x14ac:dyDescent="0.2">
      <c r="C7" s="1" t="s">
        <v>18</v>
      </c>
      <c r="D7" s="6">
        <v>44442</v>
      </c>
      <c r="I7" s="1" t="s">
        <v>18</v>
      </c>
      <c r="J7" s="6">
        <f t="shared" si="0"/>
        <v>44442</v>
      </c>
      <c r="K7" s="6"/>
      <c r="O7" s="1" t="s">
        <v>18</v>
      </c>
      <c r="Q7" s="6">
        <f t="shared" si="1"/>
        <v>44442</v>
      </c>
      <c r="T7" s="1" t="s">
        <v>18</v>
      </c>
      <c r="U7" s="6">
        <f t="shared" si="2"/>
        <v>44442</v>
      </c>
      <c r="Z7" s="1" t="s">
        <v>18</v>
      </c>
      <c r="AA7" s="6">
        <v>44442</v>
      </c>
      <c r="AD7" s="1" t="s">
        <v>18</v>
      </c>
      <c r="AE7" s="6">
        <f t="shared" si="3"/>
        <v>44442</v>
      </c>
    </row>
    <row r="8" spans="3:36" x14ac:dyDescent="0.2">
      <c r="C8" s="1" t="s">
        <v>19</v>
      </c>
      <c r="D8" s="1">
        <v>40</v>
      </c>
      <c r="I8" s="1" t="s">
        <v>19</v>
      </c>
      <c r="J8" s="2">
        <f>$D8</f>
        <v>40</v>
      </c>
      <c r="O8" s="1" t="s">
        <v>19</v>
      </c>
      <c r="Q8" s="2">
        <f>$D8</f>
        <v>40</v>
      </c>
      <c r="T8" s="1" t="s">
        <v>19</v>
      </c>
      <c r="U8" s="2">
        <f>$D8</f>
        <v>40</v>
      </c>
      <c r="Z8" s="1" t="s">
        <v>19</v>
      </c>
      <c r="AA8" s="1">
        <v>40</v>
      </c>
      <c r="AD8" s="1" t="s">
        <v>19</v>
      </c>
      <c r="AE8" s="2">
        <f>$D8</f>
        <v>40</v>
      </c>
    </row>
    <row r="9" spans="3:36" x14ac:dyDescent="0.2">
      <c r="C9" s="1" t="s">
        <v>20</v>
      </c>
      <c r="D9" s="1">
        <v>-3</v>
      </c>
      <c r="I9" s="1" t="s">
        <v>20</v>
      </c>
      <c r="J9" s="2">
        <f>-$D9</f>
        <v>3</v>
      </c>
      <c r="O9" s="1" t="s">
        <v>20</v>
      </c>
      <c r="Q9" s="2">
        <f>$D9</f>
        <v>-3</v>
      </c>
      <c r="T9" s="1" t="s">
        <v>20</v>
      </c>
      <c r="U9" s="2">
        <f>-$D9</f>
        <v>3</v>
      </c>
      <c r="Z9" s="1" t="s">
        <v>20</v>
      </c>
      <c r="AA9" s="1">
        <v>-3</v>
      </c>
      <c r="AD9" s="1" t="s">
        <v>20</v>
      </c>
      <c r="AE9" s="2">
        <f>-$D9</f>
        <v>3</v>
      </c>
    </row>
    <row r="10" spans="3:36" x14ac:dyDescent="0.2">
      <c r="C10" s="1" t="s">
        <v>21</v>
      </c>
      <c r="D10" s="1">
        <v>100</v>
      </c>
      <c r="I10" s="1" t="s">
        <v>21</v>
      </c>
      <c r="J10" s="2">
        <f t="shared" si="0"/>
        <v>100</v>
      </c>
      <c r="O10" s="1" t="s">
        <v>21</v>
      </c>
      <c r="Q10" s="2">
        <f t="shared" si="1"/>
        <v>100</v>
      </c>
      <c r="T10" s="1" t="s">
        <v>21</v>
      </c>
      <c r="U10" s="2">
        <f t="shared" si="2"/>
        <v>100</v>
      </c>
      <c r="Z10" s="1" t="s">
        <v>21</v>
      </c>
      <c r="AA10" s="1">
        <v>100</v>
      </c>
      <c r="AD10" s="1" t="s">
        <v>21</v>
      </c>
      <c r="AE10" s="2">
        <f t="shared" si="3"/>
        <v>100</v>
      </c>
    </row>
    <row r="12" spans="3:36" s="12" customFormat="1" ht="30.6" x14ac:dyDescent="0.2">
      <c r="C12" s="11" t="s">
        <v>229</v>
      </c>
      <c r="D12" s="12" t="s">
        <v>25</v>
      </c>
      <c r="I12" s="11" t="s">
        <v>229</v>
      </c>
      <c r="J12" s="12" t="s">
        <v>26</v>
      </c>
      <c r="O12" s="11" t="s">
        <v>229</v>
      </c>
      <c r="P12" s="12" t="s">
        <v>23</v>
      </c>
      <c r="T12" s="11" t="s">
        <v>229</v>
      </c>
      <c r="U12" s="12" t="s">
        <v>24</v>
      </c>
      <c r="Y12" s="13"/>
      <c r="Z12" s="11" t="s">
        <v>22</v>
      </c>
      <c r="AA12" s="12" t="s">
        <v>25</v>
      </c>
      <c r="AD12" s="11" t="s">
        <v>22</v>
      </c>
      <c r="AE12" s="12" t="s">
        <v>24</v>
      </c>
      <c r="AG12" s="11" t="s">
        <v>22</v>
      </c>
      <c r="AH12" s="12" t="s">
        <v>27</v>
      </c>
      <c r="AJ12" s="107" t="s">
        <v>230</v>
      </c>
    </row>
    <row r="13" spans="3:36" x14ac:dyDescent="0.2">
      <c r="C13" s="14">
        <v>80</v>
      </c>
      <c r="D13" s="15">
        <f>IF(D$8&lt;$C13,$C13-D$8+D$9,D$9)</f>
        <v>37</v>
      </c>
      <c r="I13" s="14">
        <v>80</v>
      </c>
      <c r="J13" s="15">
        <f>IF(J$8&lt;$I13,J$8-$I13+J$9,J$9)</f>
        <v>-37</v>
      </c>
      <c r="O13" s="14">
        <v>80</v>
      </c>
      <c r="P13" s="15">
        <f>IF(Q$8&gt;$O13,Q$8-$O13+Q$9,Q$9)</f>
        <v>-3</v>
      </c>
      <c r="Q13" s="15"/>
      <c r="T13" s="14">
        <v>80</v>
      </c>
      <c r="U13" s="15">
        <f>IF(U$8&gt;$T13,$T13-U$8+U$9,U$9)</f>
        <v>3</v>
      </c>
      <c r="Z13" s="14">
        <v>80</v>
      </c>
      <c r="AA13" s="15">
        <f>IF(AA$8&lt;$Z13,$Z13-AA$8+AA$9,AA$9)</f>
        <v>37</v>
      </c>
      <c r="AD13" s="14">
        <v>80</v>
      </c>
      <c r="AE13" s="15">
        <f>IF(AE$8&gt;$AD13,$AD13-AE$8+AE$9,AE$9)</f>
        <v>3</v>
      </c>
      <c r="AG13" s="14">
        <v>80</v>
      </c>
      <c r="AH13" s="15">
        <f>AA13+AE13</f>
        <v>40</v>
      </c>
    </row>
    <row r="14" spans="3:36" x14ac:dyDescent="0.2">
      <c r="C14" s="14">
        <f>C13-1</f>
        <v>79</v>
      </c>
      <c r="D14" s="15">
        <f t="shared" ref="D14:D77" si="4">IF(D$8&lt;$C14,$C14-D$8+D$9,D$9)</f>
        <v>36</v>
      </c>
      <c r="I14" s="14">
        <f>I13-1</f>
        <v>79</v>
      </c>
      <c r="J14" s="15">
        <f t="shared" ref="J14:J77" si="5">IF(J$8&lt;$I14,J$8-$I14+J$9,J$9)</f>
        <v>-36</v>
      </c>
      <c r="O14" s="14">
        <f>O13-1</f>
        <v>79</v>
      </c>
      <c r="P14" s="15">
        <f t="shared" ref="P14:P77" si="6">IF(Q$8&gt;$O14,Q$8-$O14+Q$9,Q$9)</f>
        <v>-3</v>
      </c>
      <c r="Q14" s="15"/>
      <c r="T14" s="14">
        <f>T13-1</f>
        <v>79</v>
      </c>
      <c r="U14" s="15">
        <f t="shared" ref="U14:U77" si="7">IF(U$8&gt;$T14,$T14-U$8+U$9,U$9)</f>
        <v>3</v>
      </c>
      <c r="Z14" s="14">
        <f>Z13-1</f>
        <v>79</v>
      </c>
      <c r="AA14" s="15">
        <f t="shared" ref="AA14:AA77" si="8">IF(AA$8&lt;$Z14,$Z14-AA$8+AA$9,AA$9)</f>
        <v>36</v>
      </c>
      <c r="AD14" s="14">
        <f>AD13-1</f>
        <v>79</v>
      </c>
      <c r="AE14" s="15">
        <f t="shared" ref="AE14:AE77" si="9">IF(AE$8&gt;$AD14,$AD14-AE$8+AE$9,AE$9)</f>
        <v>3</v>
      </c>
      <c r="AG14" s="14">
        <f>AG13-1</f>
        <v>79</v>
      </c>
      <c r="AH14" s="15">
        <f t="shared" ref="AH14:AH77" si="10">AA14+AE14</f>
        <v>39</v>
      </c>
    </row>
    <row r="15" spans="3:36" x14ac:dyDescent="0.2">
      <c r="C15" s="14">
        <f t="shared" ref="C15:C78" si="11">C14-1</f>
        <v>78</v>
      </c>
      <c r="D15" s="15">
        <f t="shared" si="4"/>
        <v>35</v>
      </c>
      <c r="I15" s="14">
        <f t="shared" ref="I15:I78" si="12">I14-1</f>
        <v>78</v>
      </c>
      <c r="J15" s="15">
        <f t="shared" si="5"/>
        <v>-35</v>
      </c>
      <c r="O15" s="14">
        <f t="shared" ref="O15:O78" si="13">O14-1</f>
        <v>78</v>
      </c>
      <c r="P15" s="15">
        <f t="shared" si="6"/>
        <v>-3</v>
      </c>
      <c r="Q15" s="15"/>
      <c r="T15" s="14">
        <f t="shared" ref="T15:T78" si="14">T14-1</f>
        <v>78</v>
      </c>
      <c r="U15" s="15">
        <f t="shared" si="7"/>
        <v>3</v>
      </c>
      <c r="Z15" s="14">
        <f t="shared" ref="Z15:Z78" si="15">Z14-1</f>
        <v>78</v>
      </c>
      <c r="AA15" s="15">
        <f t="shared" si="8"/>
        <v>35</v>
      </c>
      <c r="AD15" s="14">
        <f t="shared" ref="AD15:AD78" si="16">AD14-1</f>
        <v>78</v>
      </c>
      <c r="AE15" s="15">
        <f t="shared" si="9"/>
        <v>3</v>
      </c>
      <c r="AG15" s="14">
        <f t="shared" ref="AG15:AG78" si="17">AG14-1</f>
        <v>78</v>
      </c>
      <c r="AH15" s="15">
        <f t="shared" si="10"/>
        <v>38</v>
      </c>
    </row>
    <row r="16" spans="3:36" x14ac:dyDescent="0.2">
      <c r="C16" s="14">
        <f t="shared" si="11"/>
        <v>77</v>
      </c>
      <c r="D16" s="15">
        <f t="shared" si="4"/>
        <v>34</v>
      </c>
      <c r="I16" s="14">
        <f t="shared" si="12"/>
        <v>77</v>
      </c>
      <c r="J16" s="15">
        <f t="shared" si="5"/>
        <v>-34</v>
      </c>
      <c r="O16" s="14">
        <f t="shared" si="13"/>
        <v>77</v>
      </c>
      <c r="P16" s="15">
        <f t="shared" si="6"/>
        <v>-3</v>
      </c>
      <c r="Q16" s="15"/>
      <c r="T16" s="14">
        <f t="shared" si="14"/>
        <v>77</v>
      </c>
      <c r="U16" s="15">
        <f t="shared" si="7"/>
        <v>3</v>
      </c>
      <c r="Z16" s="14">
        <f t="shared" si="15"/>
        <v>77</v>
      </c>
      <c r="AA16" s="15">
        <f t="shared" si="8"/>
        <v>34</v>
      </c>
      <c r="AD16" s="14">
        <f t="shared" si="16"/>
        <v>77</v>
      </c>
      <c r="AE16" s="15">
        <f t="shared" si="9"/>
        <v>3</v>
      </c>
      <c r="AG16" s="14">
        <f t="shared" si="17"/>
        <v>77</v>
      </c>
      <c r="AH16" s="15">
        <f t="shared" si="10"/>
        <v>37</v>
      </c>
    </row>
    <row r="17" spans="3:34" x14ac:dyDescent="0.2">
      <c r="C17" s="14">
        <f t="shared" si="11"/>
        <v>76</v>
      </c>
      <c r="D17" s="15">
        <f t="shared" si="4"/>
        <v>33</v>
      </c>
      <c r="I17" s="14">
        <f t="shared" si="12"/>
        <v>76</v>
      </c>
      <c r="J17" s="15">
        <f t="shared" si="5"/>
        <v>-33</v>
      </c>
      <c r="O17" s="14">
        <f t="shared" si="13"/>
        <v>76</v>
      </c>
      <c r="P17" s="15">
        <f t="shared" si="6"/>
        <v>-3</v>
      </c>
      <c r="Q17" s="15"/>
      <c r="T17" s="14">
        <f t="shared" si="14"/>
        <v>76</v>
      </c>
      <c r="U17" s="15">
        <f t="shared" si="7"/>
        <v>3</v>
      </c>
      <c r="Z17" s="14">
        <f t="shared" si="15"/>
        <v>76</v>
      </c>
      <c r="AA17" s="15">
        <f t="shared" si="8"/>
        <v>33</v>
      </c>
      <c r="AD17" s="14">
        <f t="shared" si="16"/>
        <v>76</v>
      </c>
      <c r="AE17" s="15">
        <f t="shared" si="9"/>
        <v>3</v>
      </c>
      <c r="AG17" s="14">
        <f t="shared" si="17"/>
        <v>76</v>
      </c>
      <c r="AH17" s="15">
        <f t="shared" si="10"/>
        <v>36</v>
      </c>
    </row>
    <row r="18" spans="3:34" x14ac:dyDescent="0.2">
      <c r="C18" s="14">
        <f t="shared" si="11"/>
        <v>75</v>
      </c>
      <c r="D18" s="15">
        <f t="shared" si="4"/>
        <v>32</v>
      </c>
      <c r="I18" s="14">
        <f t="shared" si="12"/>
        <v>75</v>
      </c>
      <c r="J18" s="15">
        <f t="shared" si="5"/>
        <v>-32</v>
      </c>
      <c r="O18" s="14">
        <f t="shared" si="13"/>
        <v>75</v>
      </c>
      <c r="P18" s="15">
        <f t="shared" si="6"/>
        <v>-3</v>
      </c>
      <c r="Q18" s="15"/>
      <c r="T18" s="14">
        <f t="shared" si="14"/>
        <v>75</v>
      </c>
      <c r="U18" s="15">
        <f t="shared" si="7"/>
        <v>3</v>
      </c>
      <c r="Z18" s="14">
        <f t="shared" si="15"/>
        <v>75</v>
      </c>
      <c r="AA18" s="15">
        <f t="shared" si="8"/>
        <v>32</v>
      </c>
      <c r="AD18" s="14">
        <f t="shared" si="16"/>
        <v>75</v>
      </c>
      <c r="AE18" s="15">
        <f t="shared" si="9"/>
        <v>3</v>
      </c>
      <c r="AG18" s="14">
        <f t="shared" si="17"/>
        <v>75</v>
      </c>
      <c r="AH18" s="15">
        <f t="shared" si="10"/>
        <v>35</v>
      </c>
    </row>
    <row r="19" spans="3:34" x14ac:dyDescent="0.2">
      <c r="C19" s="14">
        <f t="shared" si="11"/>
        <v>74</v>
      </c>
      <c r="D19" s="15">
        <f t="shared" si="4"/>
        <v>31</v>
      </c>
      <c r="I19" s="14">
        <f t="shared" si="12"/>
        <v>74</v>
      </c>
      <c r="J19" s="15">
        <f t="shared" si="5"/>
        <v>-31</v>
      </c>
      <c r="O19" s="14">
        <f t="shared" si="13"/>
        <v>74</v>
      </c>
      <c r="P19" s="15">
        <f t="shared" si="6"/>
        <v>-3</v>
      </c>
      <c r="Q19" s="15"/>
      <c r="T19" s="14">
        <f t="shared" si="14"/>
        <v>74</v>
      </c>
      <c r="U19" s="15">
        <f t="shared" si="7"/>
        <v>3</v>
      </c>
      <c r="Z19" s="14">
        <f t="shared" si="15"/>
        <v>74</v>
      </c>
      <c r="AA19" s="15">
        <f t="shared" si="8"/>
        <v>31</v>
      </c>
      <c r="AD19" s="14">
        <f t="shared" si="16"/>
        <v>74</v>
      </c>
      <c r="AE19" s="15">
        <f t="shared" si="9"/>
        <v>3</v>
      </c>
      <c r="AG19" s="14">
        <f t="shared" si="17"/>
        <v>74</v>
      </c>
      <c r="AH19" s="15">
        <f t="shared" si="10"/>
        <v>34</v>
      </c>
    </row>
    <row r="20" spans="3:34" x14ac:dyDescent="0.2">
      <c r="C20" s="14">
        <f t="shared" si="11"/>
        <v>73</v>
      </c>
      <c r="D20" s="15">
        <f t="shared" si="4"/>
        <v>30</v>
      </c>
      <c r="I20" s="14">
        <f t="shared" si="12"/>
        <v>73</v>
      </c>
      <c r="J20" s="15">
        <f t="shared" si="5"/>
        <v>-30</v>
      </c>
      <c r="O20" s="14">
        <f t="shared" si="13"/>
        <v>73</v>
      </c>
      <c r="P20" s="15">
        <f t="shared" si="6"/>
        <v>-3</v>
      </c>
      <c r="Q20" s="15"/>
      <c r="T20" s="14">
        <f t="shared" si="14"/>
        <v>73</v>
      </c>
      <c r="U20" s="15">
        <f t="shared" si="7"/>
        <v>3</v>
      </c>
      <c r="Z20" s="14">
        <f t="shared" si="15"/>
        <v>73</v>
      </c>
      <c r="AA20" s="15">
        <f t="shared" si="8"/>
        <v>30</v>
      </c>
      <c r="AD20" s="14">
        <f t="shared" si="16"/>
        <v>73</v>
      </c>
      <c r="AE20" s="15">
        <f t="shared" si="9"/>
        <v>3</v>
      </c>
      <c r="AG20" s="14">
        <f t="shared" si="17"/>
        <v>73</v>
      </c>
      <c r="AH20" s="15">
        <f t="shared" si="10"/>
        <v>33</v>
      </c>
    </row>
    <row r="21" spans="3:34" x14ac:dyDescent="0.2">
      <c r="C21" s="14">
        <f t="shared" si="11"/>
        <v>72</v>
      </c>
      <c r="D21" s="15">
        <f t="shared" si="4"/>
        <v>29</v>
      </c>
      <c r="I21" s="14">
        <f t="shared" si="12"/>
        <v>72</v>
      </c>
      <c r="J21" s="15">
        <f t="shared" si="5"/>
        <v>-29</v>
      </c>
      <c r="O21" s="14">
        <f t="shared" si="13"/>
        <v>72</v>
      </c>
      <c r="P21" s="15">
        <f t="shared" si="6"/>
        <v>-3</v>
      </c>
      <c r="Q21" s="15"/>
      <c r="T21" s="14">
        <f t="shared" si="14"/>
        <v>72</v>
      </c>
      <c r="U21" s="15">
        <f t="shared" si="7"/>
        <v>3</v>
      </c>
      <c r="Z21" s="14">
        <f t="shared" si="15"/>
        <v>72</v>
      </c>
      <c r="AA21" s="15">
        <f t="shared" si="8"/>
        <v>29</v>
      </c>
      <c r="AD21" s="14">
        <f t="shared" si="16"/>
        <v>72</v>
      </c>
      <c r="AE21" s="15">
        <f t="shared" si="9"/>
        <v>3</v>
      </c>
      <c r="AG21" s="14">
        <f t="shared" si="17"/>
        <v>72</v>
      </c>
      <c r="AH21" s="15">
        <f t="shared" si="10"/>
        <v>32</v>
      </c>
    </row>
    <row r="22" spans="3:34" x14ac:dyDescent="0.2">
      <c r="C22" s="14">
        <f t="shared" si="11"/>
        <v>71</v>
      </c>
      <c r="D22" s="15">
        <f t="shared" si="4"/>
        <v>28</v>
      </c>
      <c r="I22" s="14">
        <f t="shared" si="12"/>
        <v>71</v>
      </c>
      <c r="J22" s="15">
        <f t="shared" si="5"/>
        <v>-28</v>
      </c>
      <c r="O22" s="14">
        <f t="shared" si="13"/>
        <v>71</v>
      </c>
      <c r="P22" s="15">
        <f t="shared" si="6"/>
        <v>-3</v>
      </c>
      <c r="Q22" s="15"/>
      <c r="T22" s="14">
        <f t="shared" si="14"/>
        <v>71</v>
      </c>
      <c r="U22" s="15">
        <f t="shared" si="7"/>
        <v>3</v>
      </c>
      <c r="Z22" s="14">
        <f t="shared" si="15"/>
        <v>71</v>
      </c>
      <c r="AA22" s="15">
        <f t="shared" si="8"/>
        <v>28</v>
      </c>
      <c r="AD22" s="14">
        <f t="shared" si="16"/>
        <v>71</v>
      </c>
      <c r="AE22" s="15">
        <f t="shared" si="9"/>
        <v>3</v>
      </c>
      <c r="AG22" s="14">
        <f t="shared" si="17"/>
        <v>71</v>
      </c>
      <c r="AH22" s="15">
        <f t="shared" si="10"/>
        <v>31</v>
      </c>
    </row>
    <row r="23" spans="3:34" x14ac:dyDescent="0.2">
      <c r="C23" s="14">
        <f t="shared" si="11"/>
        <v>70</v>
      </c>
      <c r="D23" s="15">
        <f t="shared" si="4"/>
        <v>27</v>
      </c>
      <c r="I23" s="14">
        <f t="shared" si="12"/>
        <v>70</v>
      </c>
      <c r="J23" s="15">
        <f t="shared" si="5"/>
        <v>-27</v>
      </c>
      <c r="O23" s="14">
        <f t="shared" si="13"/>
        <v>70</v>
      </c>
      <c r="P23" s="15">
        <f t="shared" si="6"/>
        <v>-3</v>
      </c>
      <c r="Q23" s="15"/>
      <c r="T23" s="14">
        <f t="shared" si="14"/>
        <v>70</v>
      </c>
      <c r="U23" s="15">
        <f t="shared" si="7"/>
        <v>3</v>
      </c>
      <c r="Z23" s="14">
        <f t="shared" si="15"/>
        <v>70</v>
      </c>
      <c r="AA23" s="15">
        <f t="shared" si="8"/>
        <v>27</v>
      </c>
      <c r="AD23" s="14">
        <f t="shared" si="16"/>
        <v>70</v>
      </c>
      <c r="AE23" s="15">
        <f t="shared" si="9"/>
        <v>3</v>
      </c>
      <c r="AG23" s="14">
        <f t="shared" si="17"/>
        <v>70</v>
      </c>
      <c r="AH23" s="15">
        <f t="shared" si="10"/>
        <v>30</v>
      </c>
    </row>
    <row r="24" spans="3:34" x14ac:dyDescent="0.2">
      <c r="C24" s="14">
        <f t="shared" si="11"/>
        <v>69</v>
      </c>
      <c r="D24" s="15">
        <f t="shared" si="4"/>
        <v>26</v>
      </c>
      <c r="I24" s="14">
        <f t="shared" si="12"/>
        <v>69</v>
      </c>
      <c r="J24" s="15">
        <f t="shared" si="5"/>
        <v>-26</v>
      </c>
      <c r="O24" s="14">
        <f t="shared" si="13"/>
        <v>69</v>
      </c>
      <c r="P24" s="15">
        <f t="shared" si="6"/>
        <v>-3</v>
      </c>
      <c r="Q24" s="15"/>
      <c r="T24" s="14">
        <f t="shared" si="14"/>
        <v>69</v>
      </c>
      <c r="U24" s="15">
        <f t="shared" si="7"/>
        <v>3</v>
      </c>
      <c r="Z24" s="14">
        <f t="shared" si="15"/>
        <v>69</v>
      </c>
      <c r="AA24" s="15">
        <f t="shared" si="8"/>
        <v>26</v>
      </c>
      <c r="AD24" s="14">
        <f t="shared" si="16"/>
        <v>69</v>
      </c>
      <c r="AE24" s="15">
        <f t="shared" si="9"/>
        <v>3</v>
      </c>
      <c r="AG24" s="14">
        <f t="shared" si="17"/>
        <v>69</v>
      </c>
      <c r="AH24" s="15">
        <f t="shared" si="10"/>
        <v>29</v>
      </c>
    </row>
    <row r="25" spans="3:34" x14ac:dyDescent="0.2">
      <c r="C25" s="14">
        <f t="shared" si="11"/>
        <v>68</v>
      </c>
      <c r="D25" s="15">
        <f t="shared" si="4"/>
        <v>25</v>
      </c>
      <c r="I25" s="14">
        <f t="shared" si="12"/>
        <v>68</v>
      </c>
      <c r="J25" s="15">
        <f t="shared" si="5"/>
        <v>-25</v>
      </c>
      <c r="O25" s="14">
        <f t="shared" si="13"/>
        <v>68</v>
      </c>
      <c r="P25" s="15">
        <f t="shared" si="6"/>
        <v>-3</v>
      </c>
      <c r="Q25" s="15"/>
      <c r="T25" s="14">
        <f t="shared" si="14"/>
        <v>68</v>
      </c>
      <c r="U25" s="15">
        <f t="shared" si="7"/>
        <v>3</v>
      </c>
      <c r="Z25" s="14">
        <f t="shared" si="15"/>
        <v>68</v>
      </c>
      <c r="AA25" s="15">
        <f t="shared" si="8"/>
        <v>25</v>
      </c>
      <c r="AD25" s="14">
        <f t="shared" si="16"/>
        <v>68</v>
      </c>
      <c r="AE25" s="15">
        <f t="shared" si="9"/>
        <v>3</v>
      </c>
      <c r="AG25" s="14">
        <f t="shared" si="17"/>
        <v>68</v>
      </c>
      <c r="AH25" s="15">
        <f t="shared" si="10"/>
        <v>28</v>
      </c>
    </row>
    <row r="26" spans="3:34" x14ac:dyDescent="0.2">
      <c r="C26" s="14">
        <f t="shared" si="11"/>
        <v>67</v>
      </c>
      <c r="D26" s="15">
        <f t="shared" si="4"/>
        <v>24</v>
      </c>
      <c r="I26" s="14">
        <f t="shared" si="12"/>
        <v>67</v>
      </c>
      <c r="J26" s="15">
        <f t="shared" si="5"/>
        <v>-24</v>
      </c>
      <c r="O26" s="14">
        <f t="shared" si="13"/>
        <v>67</v>
      </c>
      <c r="P26" s="15">
        <f t="shared" si="6"/>
        <v>-3</v>
      </c>
      <c r="Q26" s="15"/>
      <c r="T26" s="14">
        <f t="shared" si="14"/>
        <v>67</v>
      </c>
      <c r="U26" s="15">
        <f t="shared" si="7"/>
        <v>3</v>
      </c>
      <c r="Z26" s="14">
        <f t="shared" si="15"/>
        <v>67</v>
      </c>
      <c r="AA26" s="15">
        <f t="shared" si="8"/>
        <v>24</v>
      </c>
      <c r="AD26" s="14">
        <f t="shared" si="16"/>
        <v>67</v>
      </c>
      <c r="AE26" s="15">
        <f t="shared" si="9"/>
        <v>3</v>
      </c>
      <c r="AG26" s="14">
        <f t="shared" si="17"/>
        <v>67</v>
      </c>
      <c r="AH26" s="15">
        <f t="shared" si="10"/>
        <v>27</v>
      </c>
    </row>
    <row r="27" spans="3:34" x14ac:dyDescent="0.2">
      <c r="C27" s="14">
        <f t="shared" si="11"/>
        <v>66</v>
      </c>
      <c r="D27" s="15">
        <f t="shared" si="4"/>
        <v>23</v>
      </c>
      <c r="I27" s="14">
        <f t="shared" si="12"/>
        <v>66</v>
      </c>
      <c r="J27" s="15">
        <f t="shared" si="5"/>
        <v>-23</v>
      </c>
      <c r="O27" s="14">
        <f t="shared" si="13"/>
        <v>66</v>
      </c>
      <c r="P27" s="15">
        <f t="shared" si="6"/>
        <v>-3</v>
      </c>
      <c r="Q27" s="15"/>
      <c r="T27" s="14">
        <f t="shared" si="14"/>
        <v>66</v>
      </c>
      <c r="U27" s="15">
        <f t="shared" si="7"/>
        <v>3</v>
      </c>
      <c r="Z27" s="14">
        <f t="shared" si="15"/>
        <v>66</v>
      </c>
      <c r="AA27" s="15">
        <f t="shared" si="8"/>
        <v>23</v>
      </c>
      <c r="AD27" s="14">
        <f t="shared" si="16"/>
        <v>66</v>
      </c>
      <c r="AE27" s="15">
        <f t="shared" si="9"/>
        <v>3</v>
      </c>
      <c r="AG27" s="14">
        <f t="shared" si="17"/>
        <v>66</v>
      </c>
      <c r="AH27" s="15">
        <f t="shared" si="10"/>
        <v>26</v>
      </c>
    </row>
    <row r="28" spans="3:34" x14ac:dyDescent="0.2">
      <c r="C28" s="14">
        <f t="shared" si="11"/>
        <v>65</v>
      </c>
      <c r="D28" s="15">
        <f t="shared" si="4"/>
        <v>22</v>
      </c>
      <c r="I28" s="14">
        <f t="shared" si="12"/>
        <v>65</v>
      </c>
      <c r="J28" s="15">
        <f t="shared" si="5"/>
        <v>-22</v>
      </c>
      <c r="O28" s="14">
        <f t="shared" si="13"/>
        <v>65</v>
      </c>
      <c r="P28" s="15">
        <f t="shared" si="6"/>
        <v>-3</v>
      </c>
      <c r="Q28" s="15"/>
      <c r="T28" s="14">
        <f t="shared" si="14"/>
        <v>65</v>
      </c>
      <c r="U28" s="15">
        <f t="shared" si="7"/>
        <v>3</v>
      </c>
      <c r="Z28" s="14">
        <f t="shared" si="15"/>
        <v>65</v>
      </c>
      <c r="AA28" s="15">
        <f t="shared" si="8"/>
        <v>22</v>
      </c>
      <c r="AD28" s="14">
        <f t="shared" si="16"/>
        <v>65</v>
      </c>
      <c r="AE28" s="15">
        <f t="shared" si="9"/>
        <v>3</v>
      </c>
      <c r="AG28" s="14">
        <f t="shared" si="17"/>
        <v>65</v>
      </c>
      <c r="AH28" s="15">
        <f t="shared" si="10"/>
        <v>25</v>
      </c>
    </row>
    <row r="29" spans="3:34" x14ac:dyDescent="0.2">
      <c r="C29" s="14">
        <f t="shared" si="11"/>
        <v>64</v>
      </c>
      <c r="D29" s="15">
        <f t="shared" si="4"/>
        <v>21</v>
      </c>
      <c r="I29" s="14">
        <f t="shared" si="12"/>
        <v>64</v>
      </c>
      <c r="J29" s="15">
        <f t="shared" si="5"/>
        <v>-21</v>
      </c>
      <c r="O29" s="14">
        <f t="shared" si="13"/>
        <v>64</v>
      </c>
      <c r="P29" s="15">
        <f t="shared" si="6"/>
        <v>-3</v>
      </c>
      <c r="Q29" s="15"/>
      <c r="T29" s="14">
        <f t="shared" si="14"/>
        <v>64</v>
      </c>
      <c r="U29" s="15">
        <f t="shared" si="7"/>
        <v>3</v>
      </c>
      <c r="Z29" s="14">
        <f t="shared" si="15"/>
        <v>64</v>
      </c>
      <c r="AA29" s="15">
        <f t="shared" si="8"/>
        <v>21</v>
      </c>
      <c r="AD29" s="14">
        <f t="shared" si="16"/>
        <v>64</v>
      </c>
      <c r="AE29" s="15">
        <f t="shared" si="9"/>
        <v>3</v>
      </c>
      <c r="AG29" s="14">
        <f t="shared" si="17"/>
        <v>64</v>
      </c>
      <c r="AH29" s="15">
        <f t="shared" si="10"/>
        <v>24</v>
      </c>
    </row>
    <row r="30" spans="3:34" x14ac:dyDescent="0.2">
      <c r="C30" s="14">
        <f t="shared" si="11"/>
        <v>63</v>
      </c>
      <c r="D30" s="15">
        <f t="shared" si="4"/>
        <v>20</v>
      </c>
      <c r="I30" s="14">
        <f t="shared" si="12"/>
        <v>63</v>
      </c>
      <c r="J30" s="15">
        <f t="shared" si="5"/>
        <v>-20</v>
      </c>
      <c r="O30" s="14">
        <f t="shared" si="13"/>
        <v>63</v>
      </c>
      <c r="P30" s="15">
        <f t="shared" si="6"/>
        <v>-3</v>
      </c>
      <c r="Q30" s="15"/>
      <c r="T30" s="14">
        <f t="shared" si="14"/>
        <v>63</v>
      </c>
      <c r="U30" s="15">
        <f t="shared" si="7"/>
        <v>3</v>
      </c>
      <c r="Z30" s="14">
        <f t="shared" si="15"/>
        <v>63</v>
      </c>
      <c r="AA30" s="15">
        <f t="shared" si="8"/>
        <v>20</v>
      </c>
      <c r="AD30" s="14">
        <f t="shared" si="16"/>
        <v>63</v>
      </c>
      <c r="AE30" s="15">
        <f t="shared" si="9"/>
        <v>3</v>
      </c>
      <c r="AG30" s="14">
        <f t="shared" si="17"/>
        <v>63</v>
      </c>
      <c r="AH30" s="15">
        <f t="shared" si="10"/>
        <v>23</v>
      </c>
    </row>
    <row r="31" spans="3:34" x14ac:dyDescent="0.2">
      <c r="C31" s="14">
        <f t="shared" si="11"/>
        <v>62</v>
      </c>
      <c r="D31" s="15">
        <f t="shared" si="4"/>
        <v>19</v>
      </c>
      <c r="I31" s="14">
        <f t="shared" si="12"/>
        <v>62</v>
      </c>
      <c r="J31" s="15">
        <f t="shared" si="5"/>
        <v>-19</v>
      </c>
      <c r="O31" s="14">
        <f t="shared" si="13"/>
        <v>62</v>
      </c>
      <c r="P31" s="15">
        <f t="shared" si="6"/>
        <v>-3</v>
      </c>
      <c r="Q31" s="15"/>
      <c r="T31" s="14">
        <f t="shared" si="14"/>
        <v>62</v>
      </c>
      <c r="U31" s="15">
        <f t="shared" si="7"/>
        <v>3</v>
      </c>
      <c r="Z31" s="14">
        <f t="shared" si="15"/>
        <v>62</v>
      </c>
      <c r="AA31" s="15">
        <f t="shared" si="8"/>
        <v>19</v>
      </c>
      <c r="AD31" s="14">
        <f t="shared" si="16"/>
        <v>62</v>
      </c>
      <c r="AE31" s="15">
        <f t="shared" si="9"/>
        <v>3</v>
      </c>
      <c r="AG31" s="14">
        <f t="shared" si="17"/>
        <v>62</v>
      </c>
      <c r="AH31" s="15">
        <f t="shared" si="10"/>
        <v>22</v>
      </c>
    </row>
    <row r="32" spans="3:34" x14ac:dyDescent="0.2">
      <c r="C32" s="14">
        <f t="shared" si="11"/>
        <v>61</v>
      </c>
      <c r="D32" s="15">
        <f t="shared" si="4"/>
        <v>18</v>
      </c>
      <c r="I32" s="14">
        <f t="shared" si="12"/>
        <v>61</v>
      </c>
      <c r="J32" s="15">
        <f t="shared" si="5"/>
        <v>-18</v>
      </c>
      <c r="O32" s="14">
        <f t="shared" si="13"/>
        <v>61</v>
      </c>
      <c r="P32" s="15">
        <f t="shared" si="6"/>
        <v>-3</v>
      </c>
      <c r="Q32" s="15"/>
      <c r="T32" s="14">
        <f t="shared" si="14"/>
        <v>61</v>
      </c>
      <c r="U32" s="15">
        <f t="shared" si="7"/>
        <v>3</v>
      </c>
      <c r="Z32" s="14">
        <f t="shared" si="15"/>
        <v>61</v>
      </c>
      <c r="AA32" s="15">
        <f t="shared" si="8"/>
        <v>18</v>
      </c>
      <c r="AD32" s="14">
        <f t="shared" si="16"/>
        <v>61</v>
      </c>
      <c r="AE32" s="15">
        <f t="shared" si="9"/>
        <v>3</v>
      </c>
      <c r="AG32" s="14">
        <f t="shared" si="17"/>
        <v>61</v>
      </c>
      <c r="AH32" s="15">
        <f t="shared" si="10"/>
        <v>21</v>
      </c>
    </row>
    <row r="33" spans="3:34" x14ac:dyDescent="0.2">
      <c r="C33" s="14">
        <f t="shared" si="11"/>
        <v>60</v>
      </c>
      <c r="D33" s="15">
        <f t="shared" si="4"/>
        <v>17</v>
      </c>
      <c r="I33" s="14">
        <f t="shared" si="12"/>
        <v>60</v>
      </c>
      <c r="J33" s="15">
        <f t="shared" si="5"/>
        <v>-17</v>
      </c>
      <c r="O33" s="14">
        <f t="shared" si="13"/>
        <v>60</v>
      </c>
      <c r="P33" s="15">
        <f t="shared" si="6"/>
        <v>-3</v>
      </c>
      <c r="Q33" s="15"/>
      <c r="T33" s="14">
        <f t="shared" si="14"/>
        <v>60</v>
      </c>
      <c r="U33" s="15">
        <f t="shared" si="7"/>
        <v>3</v>
      </c>
      <c r="Z33" s="14">
        <f t="shared" si="15"/>
        <v>60</v>
      </c>
      <c r="AA33" s="15">
        <f t="shared" si="8"/>
        <v>17</v>
      </c>
      <c r="AD33" s="14">
        <f t="shared" si="16"/>
        <v>60</v>
      </c>
      <c r="AE33" s="15">
        <f t="shared" si="9"/>
        <v>3</v>
      </c>
      <c r="AG33" s="14">
        <f t="shared" si="17"/>
        <v>60</v>
      </c>
      <c r="AH33" s="15">
        <f t="shared" si="10"/>
        <v>20</v>
      </c>
    </row>
    <row r="34" spans="3:34" x14ac:dyDescent="0.2">
      <c r="C34" s="14">
        <f t="shared" si="11"/>
        <v>59</v>
      </c>
      <c r="D34" s="15">
        <f t="shared" si="4"/>
        <v>16</v>
      </c>
      <c r="I34" s="14">
        <f t="shared" si="12"/>
        <v>59</v>
      </c>
      <c r="J34" s="15">
        <f t="shared" si="5"/>
        <v>-16</v>
      </c>
      <c r="O34" s="14">
        <f t="shared" si="13"/>
        <v>59</v>
      </c>
      <c r="P34" s="15">
        <f t="shared" si="6"/>
        <v>-3</v>
      </c>
      <c r="Q34" s="15"/>
      <c r="T34" s="14">
        <f t="shared" si="14"/>
        <v>59</v>
      </c>
      <c r="U34" s="15">
        <f t="shared" si="7"/>
        <v>3</v>
      </c>
      <c r="Z34" s="14">
        <f t="shared" si="15"/>
        <v>59</v>
      </c>
      <c r="AA34" s="15">
        <f t="shared" si="8"/>
        <v>16</v>
      </c>
      <c r="AD34" s="14">
        <f t="shared" si="16"/>
        <v>59</v>
      </c>
      <c r="AE34" s="15">
        <f t="shared" si="9"/>
        <v>3</v>
      </c>
      <c r="AG34" s="14">
        <f t="shared" si="17"/>
        <v>59</v>
      </c>
      <c r="AH34" s="15">
        <f t="shared" si="10"/>
        <v>19</v>
      </c>
    </row>
    <row r="35" spans="3:34" x14ac:dyDescent="0.2">
      <c r="C35" s="14">
        <f t="shared" si="11"/>
        <v>58</v>
      </c>
      <c r="D35" s="15">
        <f t="shared" si="4"/>
        <v>15</v>
      </c>
      <c r="I35" s="14">
        <f t="shared" si="12"/>
        <v>58</v>
      </c>
      <c r="J35" s="15">
        <f t="shared" si="5"/>
        <v>-15</v>
      </c>
      <c r="O35" s="14">
        <f t="shared" si="13"/>
        <v>58</v>
      </c>
      <c r="P35" s="15">
        <f t="shared" si="6"/>
        <v>-3</v>
      </c>
      <c r="Q35" s="15"/>
      <c r="T35" s="14">
        <f t="shared" si="14"/>
        <v>58</v>
      </c>
      <c r="U35" s="15">
        <f t="shared" si="7"/>
        <v>3</v>
      </c>
      <c r="Z35" s="14">
        <f t="shared" si="15"/>
        <v>58</v>
      </c>
      <c r="AA35" s="15">
        <f t="shared" si="8"/>
        <v>15</v>
      </c>
      <c r="AD35" s="14">
        <f t="shared" si="16"/>
        <v>58</v>
      </c>
      <c r="AE35" s="15">
        <f t="shared" si="9"/>
        <v>3</v>
      </c>
      <c r="AG35" s="14">
        <f t="shared" si="17"/>
        <v>58</v>
      </c>
      <c r="AH35" s="15">
        <f t="shared" si="10"/>
        <v>18</v>
      </c>
    </row>
    <row r="36" spans="3:34" x14ac:dyDescent="0.2">
      <c r="C36" s="14">
        <f t="shared" si="11"/>
        <v>57</v>
      </c>
      <c r="D36" s="15">
        <f t="shared" si="4"/>
        <v>14</v>
      </c>
      <c r="I36" s="14">
        <f t="shared" si="12"/>
        <v>57</v>
      </c>
      <c r="J36" s="15">
        <f t="shared" si="5"/>
        <v>-14</v>
      </c>
      <c r="O36" s="14">
        <f t="shared" si="13"/>
        <v>57</v>
      </c>
      <c r="P36" s="15">
        <f t="shared" si="6"/>
        <v>-3</v>
      </c>
      <c r="Q36" s="15"/>
      <c r="T36" s="14">
        <f t="shared" si="14"/>
        <v>57</v>
      </c>
      <c r="U36" s="15">
        <f t="shared" si="7"/>
        <v>3</v>
      </c>
      <c r="Z36" s="14">
        <f t="shared" si="15"/>
        <v>57</v>
      </c>
      <c r="AA36" s="15">
        <f t="shared" si="8"/>
        <v>14</v>
      </c>
      <c r="AD36" s="14">
        <f t="shared" si="16"/>
        <v>57</v>
      </c>
      <c r="AE36" s="15">
        <f t="shared" si="9"/>
        <v>3</v>
      </c>
      <c r="AG36" s="14">
        <f t="shared" si="17"/>
        <v>57</v>
      </c>
      <c r="AH36" s="15">
        <f t="shared" si="10"/>
        <v>17</v>
      </c>
    </row>
    <row r="37" spans="3:34" x14ac:dyDescent="0.2">
      <c r="C37" s="14">
        <f t="shared" si="11"/>
        <v>56</v>
      </c>
      <c r="D37" s="15">
        <f t="shared" si="4"/>
        <v>13</v>
      </c>
      <c r="I37" s="14">
        <f t="shared" si="12"/>
        <v>56</v>
      </c>
      <c r="J37" s="15">
        <f t="shared" si="5"/>
        <v>-13</v>
      </c>
      <c r="O37" s="14">
        <f t="shared" si="13"/>
        <v>56</v>
      </c>
      <c r="P37" s="15">
        <f t="shared" si="6"/>
        <v>-3</v>
      </c>
      <c r="Q37" s="15"/>
      <c r="T37" s="14">
        <f t="shared" si="14"/>
        <v>56</v>
      </c>
      <c r="U37" s="15">
        <f t="shared" si="7"/>
        <v>3</v>
      </c>
      <c r="Z37" s="14">
        <f t="shared" si="15"/>
        <v>56</v>
      </c>
      <c r="AA37" s="15">
        <f t="shared" si="8"/>
        <v>13</v>
      </c>
      <c r="AD37" s="14">
        <f t="shared" si="16"/>
        <v>56</v>
      </c>
      <c r="AE37" s="15">
        <f t="shared" si="9"/>
        <v>3</v>
      </c>
      <c r="AG37" s="14">
        <f t="shared" si="17"/>
        <v>56</v>
      </c>
      <c r="AH37" s="15">
        <f t="shared" si="10"/>
        <v>16</v>
      </c>
    </row>
    <row r="38" spans="3:34" x14ac:dyDescent="0.2">
      <c r="C38" s="14">
        <f t="shared" si="11"/>
        <v>55</v>
      </c>
      <c r="D38" s="15">
        <f t="shared" si="4"/>
        <v>12</v>
      </c>
      <c r="I38" s="14">
        <f t="shared" si="12"/>
        <v>55</v>
      </c>
      <c r="J38" s="15">
        <f t="shared" si="5"/>
        <v>-12</v>
      </c>
      <c r="O38" s="14">
        <f t="shared" si="13"/>
        <v>55</v>
      </c>
      <c r="P38" s="15">
        <f t="shared" si="6"/>
        <v>-3</v>
      </c>
      <c r="Q38" s="15"/>
      <c r="T38" s="14">
        <f t="shared" si="14"/>
        <v>55</v>
      </c>
      <c r="U38" s="15">
        <f t="shared" si="7"/>
        <v>3</v>
      </c>
      <c r="Z38" s="14">
        <f t="shared" si="15"/>
        <v>55</v>
      </c>
      <c r="AA38" s="15">
        <f t="shared" si="8"/>
        <v>12</v>
      </c>
      <c r="AD38" s="14">
        <f t="shared" si="16"/>
        <v>55</v>
      </c>
      <c r="AE38" s="15">
        <f t="shared" si="9"/>
        <v>3</v>
      </c>
      <c r="AG38" s="14">
        <f t="shared" si="17"/>
        <v>55</v>
      </c>
      <c r="AH38" s="15">
        <f t="shared" si="10"/>
        <v>15</v>
      </c>
    </row>
    <row r="39" spans="3:34" x14ac:dyDescent="0.2">
      <c r="C39" s="14">
        <f t="shared" si="11"/>
        <v>54</v>
      </c>
      <c r="D39" s="15">
        <f t="shared" si="4"/>
        <v>11</v>
      </c>
      <c r="I39" s="14">
        <f t="shared" si="12"/>
        <v>54</v>
      </c>
      <c r="J39" s="15">
        <f t="shared" si="5"/>
        <v>-11</v>
      </c>
      <c r="O39" s="14">
        <f t="shared" si="13"/>
        <v>54</v>
      </c>
      <c r="P39" s="15">
        <f t="shared" si="6"/>
        <v>-3</v>
      </c>
      <c r="Q39" s="15"/>
      <c r="T39" s="14">
        <f t="shared" si="14"/>
        <v>54</v>
      </c>
      <c r="U39" s="15">
        <f t="shared" si="7"/>
        <v>3</v>
      </c>
      <c r="Z39" s="14">
        <f t="shared" si="15"/>
        <v>54</v>
      </c>
      <c r="AA39" s="15">
        <f t="shared" si="8"/>
        <v>11</v>
      </c>
      <c r="AD39" s="14">
        <f t="shared" si="16"/>
        <v>54</v>
      </c>
      <c r="AE39" s="15">
        <f t="shared" si="9"/>
        <v>3</v>
      </c>
      <c r="AG39" s="14">
        <f t="shared" si="17"/>
        <v>54</v>
      </c>
      <c r="AH39" s="15">
        <f t="shared" si="10"/>
        <v>14</v>
      </c>
    </row>
    <row r="40" spans="3:34" x14ac:dyDescent="0.2">
      <c r="C40" s="14">
        <f t="shared" si="11"/>
        <v>53</v>
      </c>
      <c r="D40" s="15">
        <f t="shared" si="4"/>
        <v>10</v>
      </c>
      <c r="I40" s="14">
        <f t="shared" si="12"/>
        <v>53</v>
      </c>
      <c r="J40" s="15">
        <f t="shared" si="5"/>
        <v>-10</v>
      </c>
      <c r="O40" s="14">
        <f t="shared" si="13"/>
        <v>53</v>
      </c>
      <c r="P40" s="15">
        <f t="shared" si="6"/>
        <v>-3</v>
      </c>
      <c r="Q40" s="15"/>
      <c r="T40" s="14">
        <f t="shared" si="14"/>
        <v>53</v>
      </c>
      <c r="U40" s="15">
        <f t="shared" si="7"/>
        <v>3</v>
      </c>
      <c r="Z40" s="14">
        <f t="shared" si="15"/>
        <v>53</v>
      </c>
      <c r="AA40" s="15">
        <f t="shared" si="8"/>
        <v>10</v>
      </c>
      <c r="AD40" s="14">
        <f t="shared" si="16"/>
        <v>53</v>
      </c>
      <c r="AE40" s="15">
        <f t="shared" si="9"/>
        <v>3</v>
      </c>
      <c r="AG40" s="14">
        <f t="shared" si="17"/>
        <v>53</v>
      </c>
      <c r="AH40" s="15">
        <f t="shared" si="10"/>
        <v>13</v>
      </c>
    </row>
    <row r="41" spans="3:34" x14ac:dyDescent="0.2">
      <c r="C41" s="14">
        <f t="shared" si="11"/>
        <v>52</v>
      </c>
      <c r="D41" s="15">
        <f t="shared" si="4"/>
        <v>9</v>
      </c>
      <c r="I41" s="14">
        <f t="shared" si="12"/>
        <v>52</v>
      </c>
      <c r="J41" s="15">
        <f t="shared" si="5"/>
        <v>-9</v>
      </c>
      <c r="O41" s="14">
        <f t="shared" si="13"/>
        <v>52</v>
      </c>
      <c r="P41" s="15">
        <f t="shared" si="6"/>
        <v>-3</v>
      </c>
      <c r="Q41" s="15"/>
      <c r="T41" s="14">
        <f t="shared" si="14"/>
        <v>52</v>
      </c>
      <c r="U41" s="15">
        <f t="shared" si="7"/>
        <v>3</v>
      </c>
      <c r="Z41" s="14">
        <f t="shared" si="15"/>
        <v>52</v>
      </c>
      <c r="AA41" s="15">
        <f t="shared" si="8"/>
        <v>9</v>
      </c>
      <c r="AD41" s="14">
        <f t="shared" si="16"/>
        <v>52</v>
      </c>
      <c r="AE41" s="15">
        <f t="shared" si="9"/>
        <v>3</v>
      </c>
      <c r="AG41" s="14">
        <f t="shared" si="17"/>
        <v>52</v>
      </c>
      <c r="AH41" s="15">
        <f t="shared" si="10"/>
        <v>12</v>
      </c>
    </row>
    <row r="42" spans="3:34" x14ac:dyDescent="0.2">
      <c r="C42" s="14">
        <f t="shared" si="11"/>
        <v>51</v>
      </c>
      <c r="D42" s="15">
        <f t="shared" si="4"/>
        <v>8</v>
      </c>
      <c r="I42" s="14">
        <f t="shared" si="12"/>
        <v>51</v>
      </c>
      <c r="J42" s="15">
        <f t="shared" si="5"/>
        <v>-8</v>
      </c>
      <c r="O42" s="14">
        <f t="shared" si="13"/>
        <v>51</v>
      </c>
      <c r="P42" s="15">
        <f t="shared" si="6"/>
        <v>-3</v>
      </c>
      <c r="Q42" s="15"/>
      <c r="T42" s="14">
        <f t="shared" si="14"/>
        <v>51</v>
      </c>
      <c r="U42" s="15">
        <f t="shared" si="7"/>
        <v>3</v>
      </c>
      <c r="Z42" s="14">
        <f t="shared" si="15"/>
        <v>51</v>
      </c>
      <c r="AA42" s="15">
        <f t="shared" si="8"/>
        <v>8</v>
      </c>
      <c r="AD42" s="14">
        <f t="shared" si="16"/>
        <v>51</v>
      </c>
      <c r="AE42" s="15">
        <f t="shared" si="9"/>
        <v>3</v>
      </c>
      <c r="AG42" s="14">
        <f t="shared" si="17"/>
        <v>51</v>
      </c>
      <c r="AH42" s="15">
        <f t="shared" si="10"/>
        <v>11</v>
      </c>
    </row>
    <row r="43" spans="3:34" x14ac:dyDescent="0.2">
      <c r="C43" s="14">
        <f t="shared" si="11"/>
        <v>50</v>
      </c>
      <c r="D43" s="15">
        <f t="shared" si="4"/>
        <v>7</v>
      </c>
      <c r="I43" s="14">
        <f t="shared" si="12"/>
        <v>50</v>
      </c>
      <c r="J43" s="15">
        <f t="shared" si="5"/>
        <v>-7</v>
      </c>
      <c r="O43" s="14">
        <f t="shared" si="13"/>
        <v>50</v>
      </c>
      <c r="P43" s="15">
        <f t="shared" si="6"/>
        <v>-3</v>
      </c>
      <c r="Q43" s="15"/>
      <c r="T43" s="14">
        <f t="shared" si="14"/>
        <v>50</v>
      </c>
      <c r="U43" s="15">
        <f t="shared" si="7"/>
        <v>3</v>
      </c>
      <c r="Z43" s="14">
        <f t="shared" si="15"/>
        <v>50</v>
      </c>
      <c r="AA43" s="15">
        <f t="shared" si="8"/>
        <v>7</v>
      </c>
      <c r="AD43" s="14">
        <f t="shared" si="16"/>
        <v>50</v>
      </c>
      <c r="AE43" s="15">
        <f t="shared" si="9"/>
        <v>3</v>
      </c>
      <c r="AG43" s="14">
        <f t="shared" si="17"/>
        <v>50</v>
      </c>
      <c r="AH43" s="15">
        <f t="shared" si="10"/>
        <v>10</v>
      </c>
    </row>
    <row r="44" spans="3:34" x14ac:dyDescent="0.2">
      <c r="C44" s="14">
        <f t="shared" si="11"/>
        <v>49</v>
      </c>
      <c r="D44" s="15">
        <f t="shared" si="4"/>
        <v>6</v>
      </c>
      <c r="I44" s="14">
        <f t="shared" si="12"/>
        <v>49</v>
      </c>
      <c r="J44" s="15">
        <f t="shared" si="5"/>
        <v>-6</v>
      </c>
      <c r="O44" s="14">
        <f t="shared" si="13"/>
        <v>49</v>
      </c>
      <c r="P44" s="15">
        <f t="shared" si="6"/>
        <v>-3</v>
      </c>
      <c r="Q44" s="15"/>
      <c r="T44" s="14">
        <f t="shared" si="14"/>
        <v>49</v>
      </c>
      <c r="U44" s="15">
        <f t="shared" si="7"/>
        <v>3</v>
      </c>
      <c r="Z44" s="14">
        <f t="shared" si="15"/>
        <v>49</v>
      </c>
      <c r="AA44" s="15">
        <f t="shared" si="8"/>
        <v>6</v>
      </c>
      <c r="AD44" s="14">
        <f t="shared" si="16"/>
        <v>49</v>
      </c>
      <c r="AE44" s="15">
        <f t="shared" si="9"/>
        <v>3</v>
      </c>
      <c r="AG44" s="14">
        <f t="shared" si="17"/>
        <v>49</v>
      </c>
      <c r="AH44" s="15">
        <f t="shared" si="10"/>
        <v>9</v>
      </c>
    </row>
    <row r="45" spans="3:34" x14ac:dyDescent="0.2">
      <c r="C45" s="14">
        <f t="shared" si="11"/>
        <v>48</v>
      </c>
      <c r="D45" s="15">
        <f t="shared" si="4"/>
        <v>5</v>
      </c>
      <c r="I45" s="14">
        <f t="shared" si="12"/>
        <v>48</v>
      </c>
      <c r="J45" s="15">
        <f t="shared" si="5"/>
        <v>-5</v>
      </c>
      <c r="O45" s="14">
        <f t="shared" si="13"/>
        <v>48</v>
      </c>
      <c r="P45" s="15">
        <f t="shared" si="6"/>
        <v>-3</v>
      </c>
      <c r="Q45" s="15"/>
      <c r="T45" s="14">
        <f t="shared" si="14"/>
        <v>48</v>
      </c>
      <c r="U45" s="15">
        <f t="shared" si="7"/>
        <v>3</v>
      </c>
      <c r="Z45" s="14">
        <f t="shared" si="15"/>
        <v>48</v>
      </c>
      <c r="AA45" s="15">
        <f t="shared" si="8"/>
        <v>5</v>
      </c>
      <c r="AD45" s="14">
        <f t="shared" si="16"/>
        <v>48</v>
      </c>
      <c r="AE45" s="15">
        <f t="shared" si="9"/>
        <v>3</v>
      </c>
      <c r="AG45" s="14">
        <f t="shared" si="17"/>
        <v>48</v>
      </c>
      <c r="AH45" s="15">
        <f t="shared" si="10"/>
        <v>8</v>
      </c>
    </row>
    <row r="46" spans="3:34" x14ac:dyDescent="0.2">
      <c r="C46" s="14">
        <f t="shared" si="11"/>
        <v>47</v>
      </c>
      <c r="D46" s="15">
        <f t="shared" si="4"/>
        <v>4</v>
      </c>
      <c r="I46" s="14">
        <f t="shared" si="12"/>
        <v>47</v>
      </c>
      <c r="J46" s="15">
        <f t="shared" si="5"/>
        <v>-4</v>
      </c>
      <c r="O46" s="14">
        <f t="shared" si="13"/>
        <v>47</v>
      </c>
      <c r="P46" s="15">
        <f t="shared" si="6"/>
        <v>-3</v>
      </c>
      <c r="Q46" s="15"/>
      <c r="T46" s="14">
        <f t="shared" si="14"/>
        <v>47</v>
      </c>
      <c r="U46" s="15">
        <f t="shared" si="7"/>
        <v>3</v>
      </c>
      <c r="Z46" s="14">
        <f t="shared" si="15"/>
        <v>47</v>
      </c>
      <c r="AA46" s="15">
        <f t="shared" si="8"/>
        <v>4</v>
      </c>
      <c r="AD46" s="14">
        <f t="shared" si="16"/>
        <v>47</v>
      </c>
      <c r="AE46" s="15">
        <f t="shared" si="9"/>
        <v>3</v>
      </c>
      <c r="AG46" s="14">
        <f t="shared" si="17"/>
        <v>47</v>
      </c>
      <c r="AH46" s="15">
        <f t="shared" si="10"/>
        <v>7</v>
      </c>
    </row>
    <row r="47" spans="3:34" x14ac:dyDescent="0.2">
      <c r="C47" s="14">
        <f t="shared" si="11"/>
        <v>46</v>
      </c>
      <c r="D47" s="15">
        <f t="shared" si="4"/>
        <v>3</v>
      </c>
      <c r="I47" s="14">
        <f t="shared" si="12"/>
        <v>46</v>
      </c>
      <c r="J47" s="15">
        <f t="shared" si="5"/>
        <v>-3</v>
      </c>
      <c r="O47" s="14">
        <f t="shared" si="13"/>
        <v>46</v>
      </c>
      <c r="P47" s="15">
        <f t="shared" si="6"/>
        <v>-3</v>
      </c>
      <c r="Q47" s="15"/>
      <c r="T47" s="14">
        <f t="shared" si="14"/>
        <v>46</v>
      </c>
      <c r="U47" s="15">
        <f t="shared" si="7"/>
        <v>3</v>
      </c>
      <c r="Z47" s="14">
        <f t="shared" si="15"/>
        <v>46</v>
      </c>
      <c r="AA47" s="15">
        <f t="shared" si="8"/>
        <v>3</v>
      </c>
      <c r="AD47" s="14">
        <f t="shared" si="16"/>
        <v>46</v>
      </c>
      <c r="AE47" s="15">
        <f t="shared" si="9"/>
        <v>3</v>
      </c>
      <c r="AG47" s="14">
        <f t="shared" si="17"/>
        <v>46</v>
      </c>
      <c r="AH47" s="15">
        <f t="shared" si="10"/>
        <v>6</v>
      </c>
    </row>
    <row r="48" spans="3:34" x14ac:dyDescent="0.2">
      <c r="C48" s="14">
        <f t="shared" si="11"/>
        <v>45</v>
      </c>
      <c r="D48" s="15">
        <f t="shared" si="4"/>
        <v>2</v>
      </c>
      <c r="I48" s="14">
        <f t="shared" si="12"/>
        <v>45</v>
      </c>
      <c r="J48" s="15">
        <f t="shared" si="5"/>
        <v>-2</v>
      </c>
      <c r="O48" s="14">
        <f t="shared" si="13"/>
        <v>45</v>
      </c>
      <c r="P48" s="15">
        <f t="shared" si="6"/>
        <v>-3</v>
      </c>
      <c r="Q48" s="15"/>
      <c r="T48" s="14">
        <f t="shared" si="14"/>
        <v>45</v>
      </c>
      <c r="U48" s="15">
        <f t="shared" si="7"/>
        <v>3</v>
      </c>
      <c r="Z48" s="14">
        <f t="shared" si="15"/>
        <v>45</v>
      </c>
      <c r="AA48" s="15">
        <f t="shared" si="8"/>
        <v>2</v>
      </c>
      <c r="AD48" s="14">
        <f t="shared" si="16"/>
        <v>45</v>
      </c>
      <c r="AE48" s="15">
        <f t="shared" si="9"/>
        <v>3</v>
      </c>
      <c r="AG48" s="14">
        <f t="shared" si="17"/>
        <v>45</v>
      </c>
      <c r="AH48" s="15">
        <f t="shared" si="10"/>
        <v>5</v>
      </c>
    </row>
    <row r="49" spans="3:34" x14ac:dyDescent="0.2">
      <c r="C49" s="14">
        <f t="shared" si="11"/>
        <v>44</v>
      </c>
      <c r="D49" s="15">
        <f t="shared" si="4"/>
        <v>1</v>
      </c>
      <c r="I49" s="14">
        <f t="shared" si="12"/>
        <v>44</v>
      </c>
      <c r="J49" s="15">
        <f t="shared" si="5"/>
        <v>-1</v>
      </c>
      <c r="O49" s="14">
        <f t="shared" si="13"/>
        <v>44</v>
      </c>
      <c r="P49" s="15">
        <f t="shared" si="6"/>
        <v>-3</v>
      </c>
      <c r="Q49" s="15"/>
      <c r="T49" s="14">
        <f t="shared" si="14"/>
        <v>44</v>
      </c>
      <c r="U49" s="15">
        <f t="shared" si="7"/>
        <v>3</v>
      </c>
      <c r="Z49" s="14">
        <f t="shared" si="15"/>
        <v>44</v>
      </c>
      <c r="AA49" s="15">
        <f t="shared" si="8"/>
        <v>1</v>
      </c>
      <c r="AD49" s="14">
        <f t="shared" si="16"/>
        <v>44</v>
      </c>
      <c r="AE49" s="15">
        <f t="shared" si="9"/>
        <v>3</v>
      </c>
      <c r="AG49" s="14">
        <f t="shared" si="17"/>
        <v>44</v>
      </c>
      <c r="AH49" s="15">
        <f t="shared" si="10"/>
        <v>4</v>
      </c>
    </row>
    <row r="50" spans="3:34" x14ac:dyDescent="0.2">
      <c r="C50" s="14">
        <f t="shared" si="11"/>
        <v>43</v>
      </c>
      <c r="D50" s="15">
        <f t="shared" si="4"/>
        <v>0</v>
      </c>
      <c r="I50" s="14">
        <f t="shared" si="12"/>
        <v>43</v>
      </c>
      <c r="J50" s="15">
        <f t="shared" si="5"/>
        <v>0</v>
      </c>
      <c r="O50" s="14">
        <f t="shared" si="13"/>
        <v>43</v>
      </c>
      <c r="P50" s="15">
        <f t="shared" si="6"/>
        <v>-3</v>
      </c>
      <c r="Q50" s="15"/>
      <c r="T50" s="14">
        <f t="shared" si="14"/>
        <v>43</v>
      </c>
      <c r="U50" s="15">
        <f t="shared" si="7"/>
        <v>3</v>
      </c>
      <c r="Z50" s="14">
        <f t="shared" si="15"/>
        <v>43</v>
      </c>
      <c r="AA50" s="15">
        <f t="shared" si="8"/>
        <v>0</v>
      </c>
      <c r="AD50" s="14">
        <f t="shared" si="16"/>
        <v>43</v>
      </c>
      <c r="AE50" s="15">
        <f t="shared" si="9"/>
        <v>3</v>
      </c>
      <c r="AG50" s="14">
        <f t="shared" si="17"/>
        <v>43</v>
      </c>
      <c r="AH50" s="15">
        <f t="shared" si="10"/>
        <v>3</v>
      </c>
    </row>
    <row r="51" spans="3:34" x14ac:dyDescent="0.2">
      <c r="C51" s="14">
        <f t="shared" si="11"/>
        <v>42</v>
      </c>
      <c r="D51" s="15">
        <f t="shared" si="4"/>
        <v>-1</v>
      </c>
      <c r="I51" s="14">
        <f t="shared" si="12"/>
        <v>42</v>
      </c>
      <c r="J51" s="15">
        <f t="shared" si="5"/>
        <v>1</v>
      </c>
      <c r="O51" s="14">
        <f t="shared" si="13"/>
        <v>42</v>
      </c>
      <c r="P51" s="15">
        <f t="shared" si="6"/>
        <v>-3</v>
      </c>
      <c r="Q51" s="15"/>
      <c r="T51" s="14">
        <f t="shared" si="14"/>
        <v>42</v>
      </c>
      <c r="U51" s="15">
        <f t="shared" si="7"/>
        <v>3</v>
      </c>
      <c r="Z51" s="14">
        <f t="shared" si="15"/>
        <v>42</v>
      </c>
      <c r="AA51" s="15">
        <f t="shared" si="8"/>
        <v>-1</v>
      </c>
      <c r="AD51" s="14">
        <f t="shared" si="16"/>
        <v>42</v>
      </c>
      <c r="AE51" s="15">
        <f t="shared" si="9"/>
        <v>3</v>
      </c>
      <c r="AG51" s="14">
        <f t="shared" si="17"/>
        <v>42</v>
      </c>
      <c r="AH51" s="15">
        <f t="shared" si="10"/>
        <v>2</v>
      </c>
    </row>
    <row r="52" spans="3:34" x14ac:dyDescent="0.2">
      <c r="C52" s="14">
        <f t="shared" si="11"/>
        <v>41</v>
      </c>
      <c r="D52" s="15">
        <f t="shared" si="4"/>
        <v>-2</v>
      </c>
      <c r="I52" s="14">
        <f t="shared" si="12"/>
        <v>41</v>
      </c>
      <c r="J52" s="15">
        <f t="shared" si="5"/>
        <v>2</v>
      </c>
      <c r="O52" s="14">
        <f t="shared" si="13"/>
        <v>41</v>
      </c>
      <c r="P52" s="15">
        <f t="shared" si="6"/>
        <v>-3</v>
      </c>
      <c r="Q52" s="15"/>
      <c r="T52" s="14">
        <f t="shared" si="14"/>
        <v>41</v>
      </c>
      <c r="U52" s="15">
        <f t="shared" si="7"/>
        <v>3</v>
      </c>
      <c r="Z52" s="14">
        <f t="shared" si="15"/>
        <v>41</v>
      </c>
      <c r="AA52" s="15">
        <f t="shared" si="8"/>
        <v>-2</v>
      </c>
      <c r="AD52" s="14">
        <f t="shared" si="16"/>
        <v>41</v>
      </c>
      <c r="AE52" s="15">
        <f t="shared" si="9"/>
        <v>3</v>
      </c>
      <c r="AG52" s="14">
        <f t="shared" si="17"/>
        <v>41</v>
      </c>
      <c r="AH52" s="15">
        <f t="shared" si="10"/>
        <v>1</v>
      </c>
    </row>
    <row r="53" spans="3:34" x14ac:dyDescent="0.2">
      <c r="C53" s="14">
        <f t="shared" si="11"/>
        <v>40</v>
      </c>
      <c r="D53" s="15">
        <f t="shared" si="4"/>
        <v>-3</v>
      </c>
      <c r="I53" s="14">
        <f t="shared" si="12"/>
        <v>40</v>
      </c>
      <c r="J53" s="15">
        <f t="shared" si="5"/>
        <v>3</v>
      </c>
      <c r="O53" s="14">
        <f t="shared" si="13"/>
        <v>40</v>
      </c>
      <c r="P53" s="15">
        <f t="shared" si="6"/>
        <v>-3</v>
      </c>
      <c r="Q53" s="15"/>
      <c r="T53" s="14">
        <f t="shared" si="14"/>
        <v>40</v>
      </c>
      <c r="U53" s="15">
        <f t="shared" si="7"/>
        <v>3</v>
      </c>
      <c r="Z53" s="14">
        <f t="shared" si="15"/>
        <v>40</v>
      </c>
      <c r="AA53" s="15">
        <f t="shared" si="8"/>
        <v>-3</v>
      </c>
      <c r="AD53" s="14">
        <f t="shared" si="16"/>
        <v>40</v>
      </c>
      <c r="AE53" s="15">
        <f t="shared" si="9"/>
        <v>3</v>
      </c>
      <c r="AG53" s="14">
        <f t="shared" si="17"/>
        <v>40</v>
      </c>
      <c r="AH53" s="15">
        <f t="shared" si="10"/>
        <v>0</v>
      </c>
    </row>
    <row r="54" spans="3:34" x14ac:dyDescent="0.2">
      <c r="C54" s="14">
        <f t="shared" si="11"/>
        <v>39</v>
      </c>
      <c r="D54" s="15">
        <f t="shared" si="4"/>
        <v>-3</v>
      </c>
      <c r="I54" s="14">
        <f t="shared" si="12"/>
        <v>39</v>
      </c>
      <c r="J54" s="15">
        <f t="shared" si="5"/>
        <v>3</v>
      </c>
      <c r="O54" s="14">
        <f t="shared" si="13"/>
        <v>39</v>
      </c>
      <c r="P54" s="15">
        <f t="shared" si="6"/>
        <v>-2</v>
      </c>
      <c r="Q54" s="15"/>
      <c r="T54" s="14">
        <f t="shared" si="14"/>
        <v>39</v>
      </c>
      <c r="U54" s="15">
        <f t="shared" si="7"/>
        <v>2</v>
      </c>
      <c r="Z54" s="14">
        <f t="shared" si="15"/>
        <v>39</v>
      </c>
      <c r="AA54" s="15">
        <f t="shared" si="8"/>
        <v>-3</v>
      </c>
      <c r="AD54" s="14">
        <f t="shared" si="16"/>
        <v>39</v>
      </c>
      <c r="AE54" s="15">
        <f t="shared" si="9"/>
        <v>2</v>
      </c>
      <c r="AG54" s="14">
        <f t="shared" si="17"/>
        <v>39</v>
      </c>
      <c r="AH54" s="15">
        <f t="shared" si="10"/>
        <v>-1</v>
      </c>
    </row>
    <row r="55" spans="3:34" x14ac:dyDescent="0.2">
      <c r="C55" s="14">
        <f t="shared" si="11"/>
        <v>38</v>
      </c>
      <c r="D55" s="15">
        <f t="shared" si="4"/>
        <v>-3</v>
      </c>
      <c r="I55" s="14">
        <f t="shared" si="12"/>
        <v>38</v>
      </c>
      <c r="J55" s="15">
        <f t="shared" si="5"/>
        <v>3</v>
      </c>
      <c r="O55" s="14">
        <f t="shared" si="13"/>
        <v>38</v>
      </c>
      <c r="P55" s="15">
        <f t="shared" si="6"/>
        <v>-1</v>
      </c>
      <c r="Q55" s="15"/>
      <c r="T55" s="14">
        <f t="shared" si="14"/>
        <v>38</v>
      </c>
      <c r="U55" s="15">
        <f t="shared" si="7"/>
        <v>1</v>
      </c>
      <c r="Z55" s="14">
        <f t="shared" si="15"/>
        <v>38</v>
      </c>
      <c r="AA55" s="15">
        <f t="shared" si="8"/>
        <v>-3</v>
      </c>
      <c r="AD55" s="14">
        <f t="shared" si="16"/>
        <v>38</v>
      </c>
      <c r="AE55" s="15">
        <f t="shared" si="9"/>
        <v>1</v>
      </c>
      <c r="AG55" s="14">
        <f t="shared" si="17"/>
        <v>38</v>
      </c>
      <c r="AH55" s="15">
        <f t="shared" si="10"/>
        <v>-2</v>
      </c>
    </row>
    <row r="56" spans="3:34" x14ac:dyDescent="0.2">
      <c r="C56" s="14">
        <f t="shared" si="11"/>
        <v>37</v>
      </c>
      <c r="D56" s="15">
        <f t="shared" si="4"/>
        <v>-3</v>
      </c>
      <c r="I56" s="14">
        <f t="shared" si="12"/>
        <v>37</v>
      </c>
      <c r="J56" s="15">
        <f t="shared" si="5"/>
        <v>3</v>
      </c>
      <c r="O56" s="14">
        <f t="shared" si="13"/>
        <v>37</v>
      </c>
      <c r="P56" s="15">
        <f t="shared" si="6"/>
        <v>0</v>
      </c>
      <c r="Q56" s="15"/>
      <c r="T56" s="14">
        <f t="shared" si="14"/>
        <v>37</v>
      </c>
      <c r="U56" s="15">
        <f t="shared" si="7"/>
        <v>0</v>
      </c>
      <c r="Z56" s="14">
        <f t="shared" si="15"/>
        <v>37</v>
      </c>
      <c r="AA56" s="15">
        <f t="shared" si="8"/>
        <v>-3</v>
      </c>
      <c r="AD56" s="14">
        <f t="shared" si="16"/>
        <v>37</v>
      </c>
      <c r="AE56" s="15">
        <f t="shared" si="9"/>
        <v>0</v>
      </c>
      <c r="AG56" s="14">
        <f t="shared" si="17"/>
        <v>37</v>
      </c>
      <c r="AH56" s="15">
        <f t="shared" si="10"/>
        <v>-3</v>
      </c>
    </row>
    <row r="57" spans="3:34" x14ac:dyDescent="0.2">
      <c r="C57" s="14">
        <f t="shared" si="11"/>
        <v>36</v>
      </c>
      <c r="D57" s="15">
        <f t="shared" si="4"/>
        <v>-3</v>
      </c>
      <c r="I57" s="14">
        <f t="shared" si="12"/>
        <v>36</v>
      </c>
      <c r="J57" s="15">
        <f t="shared" si="5"/>
        <v>3</v>
      </c>
      <c r="O57" s="14">
        <f t="shared" si="13"/>
        <v>36</v>
      </c>
      <c r="P57" s="15">
        <f t="shared" si="6"/>
        <v>1</v>
      </c>
      <c r="Q57" s="15"/>
      <c r="T57" s="14">
        <f t="shared" si="14"/>
        <v>36</v>
      </c>
      <c r="U57" s="15">
        <f t="shared" si="7"/>
        <v>-1</v>
      </c>
      <c r="Z57" s="14">
        <f t="shared" si="15"/>
        <v>36</v>
      </c>
      <c r="AA57" s="15">
        <f t="shared" si="8"/>
        <v>-3</v>
      </c>
      <c r="AD57" s="14">
        <f t="shared" si="16"/>
        <v>36</v>
      </c>
      <c r="AE57" s="15">
        <f t="shared" si="9"/>
        <v>-1</v>
      </c>
      <c r="AG57" s="14">
        <f t="shared" si="17"/>
        <v>36</v>
      </c>
      <c r="AH57" s="15">
        <f t="shared" si="10"/>
        <v>-4</v>
      </c>
    </row>
    <row r="58" spans="3:34" x14ac:dyDescent="0.2">
      <c r="C58" s="14">
        <f t="shared" si="11"/>
        <v>35</v>
      </c>
      <c r="D58" s="15">
        <f t="shared" si="4"/>
        <v>-3</v>
      </c>
      <c r="I58" s="14">
        <f t="shared" si="12"/>
        <v>35</v>
      </c>
      <c r="J58" s="15">
        <f t="shared" si="5"/>
        <v>3</v>
      </c>
      <c r="O58" s="14">
        <f t="shared" si="13"/>
        <v>35</v>
      </c>
      <c r="P58" s="15">
        <f t="shared" si="6"/>
        <v>2</v>
      </c>
      <c r="Q58" s="15"/>
      <c r="T58" s="14">
        <f t="shared" si="14"/>
        <v>35</v>
      </c>
      <c r="U58" s="15">
        <f t="shared" si="7"/>
        <v>-2</v>
      </c>
      <c r="Z58" s="14">
        <f t="shared" si="15"/>
        <v>35</v>
      </c>
      <c r="AA58" s="15">
        <f t="shared" si="8"/>
        <v>-3</v>
      </c>
      <c r="AD58" s="14">
        <f t="shared" si="16"/>
        <v>35</v>
      </c>
      <c r="AE58" s="15">
        <f t="shared" si="9"/>
        <v>-2</v>
      </c>
      <c r="AG58" s="14">
        <f t="shared" si="17"/>
        <v>35</v>
      </c>
      <c r="AH58" s="15">
        <f t="shared" si="10"/>
        <v>-5</v>
      </c>
    </row>
    <row r="59" spans="3:34" x14ac:dyDescent="0.2">
      <c r="C59" s="14">
        <f t="shared" si="11"/>
        <v>34</v>
      </c>
      <c r="D59" s="15">
        <f t="shared" si="4"/>
        <v>-3</v>
      </c>
      <c r="I59" s="14">
        <f t="shared" si="12"/>
        <v>34</v>
      </c>
      <c r="J59" s="15">
        <f t="shared" si="5"/>
        <v>3</v>
      </c>
      <c r="O59" s="14">
        <f t="shared" si="13"/>
        <v>34</v>
      </c>
      <c r="P59" s="15">
        <f t="shared" si="6"/>
        <v>3</v>
      </c>
      <c r="Q59" s="15"/>
      <c r="T59" s="14">
        <f t="shared" si="14"/>
        <v>34</v>
      </c>
      <c r="U59" s="15">
        <f t="shared" si="7"/>
        <v>-3</v>
      </c>
      <c r="Z59" s="14">
        <f t="shared" si="15"/>
        <v>34</v>
      </c>
      <c r="AA59" s="15">
        <f t="shared" si="8"/>
        <v>-3</v>
      </c>
      <c r="AD59" s="14">
        <f t="shared" si="16"/>
        <v>34</v>
      </c>
      <c r="AE59" s="15">
        <f t="shared" si="9"/>
        <v>-3</v>
      </c>
      <c r="AG59" s="14">
        <f t="shared" si="17"/>
        <v>34</v>
      </c>
      <c r="AH59" s="15">
        <f t="shared" si="10"/>
        <v>-6</v>
      </c>
    </row>
    <row r="60" spans="3:34" x14ac:dyDescent="0.2">
      <c r="C60" s="14">
        <f t="shared" si="11"/>
        <v>33</v>
      </c>
      <c r="D60" s="15">
        <f t="shared" si="4"/>
        <v>-3</v>
      </c>
      <c r="I60" s="14">
        <f t="shared" si="12"/>
        <v>33</v>
      </c>
      <c r="J60" s="15">
        <f t="shared" si="5"/>
        <v>3</v>
      </c>
      <c r="O60" s="14">
        <f t="shared" si="13"/>
        <v>33</v>
      </c>
      <c r="P60" s="15">
        <f t="shared" si="6"/>
        <v>4</v>
      </c>
      <c r="Q60" s="15"/>
      <c r="T60" s="14">
        <f t="shared" si="14"/>
        <v>33</v>
      </c>
      <c r="U60" s="15">
        <f t="shared" si="7"/>
        <v>-4</v>
      </c>
      <c r="Z60" s="14">
        <f t="shared" si="15"/>
        <v>33</v>
      </c>
      <c r="AA60" s="15">
        <f t="shared" si="8"/>
        <v>-3</v>
      </c>
      <c r="AD60" s="14">
        <f t="shared" si="16"/>
        <v>33</v>
      </c>
      <c r="AE60" s="15">
        <f t="shared" si="9"/>
        <v>-4</v>
      </c>
      <c r="AG60" s="14">
        <f t="shared" si="17"/>
        <v>33</v>
      </c>
      <c r="AH60" s="15">
        <f t="shared" si="10"/>
        <v>-7</v>
      </c>
    </row>
    <row r="61" spans="3:34" x14ac:dyDescent="0.2">
      <c r="C61" s="14">
        <f t="shared" si="11"/>
        <v>32</v>
      </c>
      <c r="D61" s="15">
        <f t="shared" si="4"/>
        <v>-3</v>
      </c>
      <c r="I61" s="14">
        <f t="shared" si="12"/>
        <v>32</v>
      </c>
      <c r="J61" s="15">
        <f t="shared" si="5"/>
        <v>3</v>
      </c>
      <c r="O61" s="14">
        <f t="shared" si="13"/>
        <v>32</v>
      </c>
      <c r="P61" s="15">
        <f t="shared" si="6"/>
        <v>5</v>
      </c>
      <c r="Q61" s="15"/>
      <c r="T61" s="14">
        <f t="shared" si="14"/>
        <v>32</v>
      </c>
      <c r="U61" s="15">
        <f t="shared" si="7"/>
        <v>-5</v>
      </c>
      <c r="Z61" s="14">
        <f t="shared" si="15"/>
        <v>32</v>
      </c>
      <c r="AA61" s="15">
        <f t="shared" si="8"/>
        <v>-3</v>
      </c>
      <c r="AD61" s="14">
        <f t="shared" si="16"/>
        <v>32</v>
      </c>
      <c r="AE61" s="15">
        <f t="shared" si="9"/>
        <v>-5</v>
      </c>
      <c r="AG61" s="14">
        <f t="shared" si="17"/>
        <v>32</v>
      </c>
      <c r="AH61" s="15">
        <f t="shared" si="10"/>
        <v>-8</v>
      </c>
    </row>
    <row r="62" spans="3:34" x14ac:dyDescent="0.2">
      <c r="C62" s="14">
        <f t="shared" si="11"/>
        <v>31</v>
      </c>
      <c r="D62" s="15">
        <f t="shared" si="4"/>
        <v>-3</v>
      </c>
      <c r="I62" s="14">
        <f t="shared" si="12"/>
        <v>31</v>
      </c>
      <c r="J62" s="15">
        <f t="shared" si="5"/>
        <v>3</v>
      </c>
      <c r="O62" s="14">
        <f t="shared" si="13"/>
        <v>31</v>
      </c>
      <c r="P62" s="15">
        <f t="shared" si="6"/>
        <v>6</v>
      </c>
      <c r="Q62" s="15"/>
      <c r="T62" s="14">
        <f t="shared" si="14"/>
        <v>31</v>
      </c>
      <c r="U62" s="15">
        <f t="shared" si="7"/>
        <v>-6</v>
      </c>
      <c r="Z62" s="14">
        <f t="shared" si="15"/>
        <v>31</v>
      </c>
      <c r="AA62" s="15">
        <f t="shared" si="8"/>
        <v>-3</v>
      </c>
      <c r="AD62" s="14">
        <f t="shared" si="16"/>
        <v>31</v>
      </c>
      <c r="AE62" s="15">
        <f t="shared" si="9"/>
        <v>-6</v>
      </c>
      <c r="AG62" s="14">
        <f t="shared" si="17"/>
        <v>31</v>
      </c>
      <c r="AH62" s="15">
        <f t="shared" si="10"/>
        <v>-9</v>
      </c>
    </row>
    <row r="63" spans="3:34" x14ac:dyDescent="0.2">
      <c r="C63" s="14">
        <f t="shared" si="11"/>
        <v>30</v>
      </c>
      <c r="D63" s="15">
        <f t="shared" si="4"/>
        <v>-3</v>
      </c>
      <c r="I63" s="14">
        <f t="shared" si="12"/>
        <v>30</v>
      </c>
      <c r="J63" s="15">
        <f t="shared" si="5"/>
        <v>3</v>
      </c>
      <c r="O63" s="14">
        <f t="shared" si="13"/>
        <v>30</v>
      </c>
      <c r="P63" s="15">
        <f t="shared" si="6"/>
        <v>7</v>
      </c>
      <c r="Q63" s="15"/>
      <c r="T63" s="14">
        <f t="shared" si="14"/>
        <v>30</v>
      </c>
      <c r="U63" s="15">
        <f t="shared" si="7"/>
        <v>-7</v>
      </c>
      <c r="Z63" s="14">
        <f t="shared" si="15"/>
        <v>30</v>
      </c>
      <c r="AA63" s="15">
        <f t="shared" si="8"/>
        <v>-3</v>
      </c>
      <c r="AD63" s="14">
        <f t="shared" si="16"/>
        <v>30</v>
      </c>
      <c r="AE63" s="15">
        <f t="shared" si="9"/>
        <v>-7</v>
      </c>
      <c r="AG63" s="14">
        <f t="shared" si="17"/>
        <v>30</v>
      </c>
      <c r="AH63" s="15">
        <f t="shared" si="10"/>
        <v>-10</v>
      </c>
    </row>
    <row r="64" spans="3:34" x14ac:dyDescent="0.2">
      <c r="C64" s="14">
        <f t="shared" si="11"/>
        <v>29</v>
      </c>
      <c r="D64" s="15">
        <f t="shared" si="4"/>
        <v>-3</v>
      </c>
      <c r="I64" s="14">
        <f t="shared" si="12"/>
        <v>29</v>
      </c>
      <c r="J64" s="15">
        <f t="shared" si="5"/>
        <v>3</v>
      </c>
      <c r="O64" s="14">
        <f t="shared" si="13"/>
        <v>29</v>
      </c>
      <c r="P64" s="15">
        <f t="shared" si="6"/>
        <v>8</v>
      </c>
      <c r="Q64" s="15"/>
      <c r="T64" s="14">
        <f t="shared" si="14"/>
        <v>29</v>
      </c>
      <c r="U64" s="15">
        <f t="shared" si="7"/>
        <v>-8</v>
      </c>
      <c r="Z64" s="14">
        <f t="shared" si="15"/>
        <v>29</v>
      </c>
      <c r="AA64" s="15">
        <f t="shared" si="8"/>
        <v>-3</v>
      </c>
      <c r="AD64" s="14">
        <f t="shared" si="16"/>
        <v>29</v>
      </c>
      <c r="AE64" s="15">
        <f t="shared" si="9"/>
        <v>-8</v>
      </c>
      <c r="AG64" s="14">
        <f t="shared" si="17"/>
        <v>29</v>
      </c>
      <c r="AH64" s="15">
        <f t="shared" si="10"/>
        <v>-11</v>
      </c>
    </row>
    <row r="65" spans="3:34" x14ac:dyDescent="0.2">
      <c r="C65" s="14">
        <f t="shared" si="11"/>
        <v>28</v>
      </c>
      <c r="D65" s="15">
        <f t="shared" si="4"/>
        <v>-3</v>
      </c>
      <c r="I65" s="14">
        <f t="shared" si="12"/>
        <v>28</v>
      </c>
      <c r="J65" s="15">
        <f t="shared" si="5"/>
        <v>3</v>
      </c>
      <c r="O65" s="14">
        <f t="shared" si="13"/>
        <v>28</v>
      </c>
      <c r="P65" s="15">
        <f t="shared" si="6"/>
        <v>9</v>
      </c>
      <c r="Q65" s="15"/>
      <c r="T65" s="14">
        <f t="shared" si="14"/>
        <v>28</v>
      </c>
      <c r="U65" s="15">
        <f t="shared" si="7"/>
        <v>-9</v>
      </c>
      <c r="Z65" s="14">
        <f t="shared" si="15"/>
        <v>28</v>
      </c>
      <c r="AA65" s="15">
        <f t="shared" si="8"/>
        <v>-3</v>
      </c>
      <c r="AD65" s="14">
        <f t="shared" si="16"/>
        <v>28</v>
      </c>
      <c r="AE65" s="15">
        <f t="shared" si="9"/>
        <v>-9</v>
      </c>
      <c r="AG65" s="14">
        <f t="shared" si="17"/>
        <v>28</v>
      </c>
      <c r="AH65" s="15">
        <f t="shared" si="10"/>
        <v>-12</v>
      </c>
    </row>
    <row r="66" spans="3:34" x14ac:dyDescent="0.2">
      <c r="C66" s="14">
        <f t="shared" si="11"/>
        <v>27</v>
      </c>
      <c r="D66" s="15">
        <f t="shared" si="4"/>
        <v>-3</v>
      </c>
      <c r="I66" s="14">
        <f t="shared" si="12"/>
        <v>27</v>
      </c>
      <c r="J66" s="15">
        <f t="shared" si="5"/>
        <v>3</v>
      </c>
      <c r="O66" s="14">
        <f t="shared" si="13"/>
        <v>27</v>
      </c>
      <c r="P66" s="15">
        <f t="shared" si="6"/>
        <v>10</v>
      </c>
      <c r="Q66" s="15"/>
      <c r="T66" s="14">
        <f t="shared" si="14"/>
        <v>27</v>
      </c>
      <c r="U66" s="15">
        <f t="shared" si="7"/>
        <v>-10</v>
      </c>
      <c r="Z66" s="14">
        <f t="shared" si="15"/>
        <v>27</v>
      </c>
      <c r="AA66" s="15">
        <f t="shared" si="8"/>
        <v>-3</v>
      </c>
      <c r="AD66" s="14">
        <f t="shared" si="16"/>
        <v>27</v>
      </c>
      <c r="AE66" s="15">
        <f t="shared" si="9"/>
        <v>-10</v>
      </c>
      <c r="AG66" s="14">
        <f t="shared" si="17"/>
        <v>27</v>
      </c>
      <c r="AH66" s="15">
        <f t="shared" si="10"/>
        <v>-13</v>
      </c>
    </row>
    <row r="67" spans="3:34" x14ac:dyDescent="0.2">
      <c r="C67" s="14">
        <f t="shared" si="11"/>
        <v>26</v>
      </c>
      <c r="D67" s="15">
        <f t="shared" si="4"/>
        <v>-3</v>
      </c>
      <c r="I67" s="14">
        <f t="shared" si="12"/>
        <v>26</v>
      </c>
      <c r="J67" s="15">
        <f t="shared" si="5"/>
        <v>3</v>
      </c>
      <c r="O67" s="14">
        <f t="shared" si="13"/>
        <v>26</v>
      </c>
      <c r="P67" s="15">
        <f t="shared" si="6"/>
        <v>11</v>
      </c>
      <c r="Q67" s="15"/>
      <c r="T67" s="14">
        <f t="shared" si="14"/>
        <v>26</v>
      </c>
      <c r="U67" s="15">
        <f t="shared" si="7"/>
        <v>-11</v>
      </c>
      <c r="Z67" s="14">
        <f t="shared" si="15"/>
        <v>26</v>
      </c>
      <c r="AA67" s="15">
        <f t="shared" si="8"/>
        <v>-3</v>
      </c>
      <c r="AD67" s="14">
        <f t="shared" si="16"/>
        <v>26</v>
      </c>
      <c r="AE67" s="15">
        <f t="shared" si="9"/>
        <v>-11</v>
      </c>
      <c r="AG67" s="14">
        <f t="shared" si="17"/>
        <v>26</v>
      </c>
      <c r="AH67" s="15">
        <f t="shared" si="10"/>
        <v>-14</v>
      </c>
    </row>
    <row r="68" spans="3:34" x14ac:dyDescent="0.2">
      <c r="C68" s="14">
        <f t="shared" si="11"/>
        <v>25</v>
      </c>
      <c r="D68" s="15">
        <f t="shared" si="4"/>
        <v>-3</v>
      </c>
      <c r="I68" s="14">
        <f t="shared" si="12"/>
        <v>25</v>
      </c>
      <c r="J68" s="15">
        <f t="shared" si="5"/>
        <v>3</v>
      </c>
      <c r="O68" s="14">
        <f t="shared" si="13"/>
        <v>25</v>
      </c>
      <c r="P68" s="15">
        <f t="shared" si="6"/>
        <v>12</v>
      </c>
      <c r="Q68" s="15"/>
      <c r="T68" s="14">
        <f t="shared" si="14"/>
        <v>25</v>
      </c>
      <c r="U68" s="15">
        <f t="shared" si="7"/>
        <v>-12</v>
      </c>
      <c r="Z68" s="14">
        <f t="shared" si="15"/>
        <v>25</v>
      </c>
      <c r="AA68" s="15">
        <f t="shared" si="8"/>
        <v>-3</v>
      </c>
      <c r="AD68" s="14">
        <f t="shared" si="16"/>
        <v>25</v>
      </c>
      <c r="AE68" s="15">
        <f t="shared" si="9"/>
        <v>-12</v>
      </c>
      <c r="AG68" s="14">
        <f t="shared" si="17"/>
        <v>25</v>
      </c>
      <c r="AH68" s="15">
        <f t="shared" si="10"/>
        <v>-15</v>
      </c>
    </row>
    <row r="69" spans="3:34" x14ac:dyDescent="0.2">
      <c r="C69" s="14">
        <f t="shared" si="11"/>
        <v>24</v>
      </c>
      <c r="D69" s="15">
        <f t="shared" si="4"/>
        <v>-3</v>
      </c>
      <c r="I69" s="14">
        <f t="shared" si="12"/>
        <v>24</v>
      </c>
      <c r="J69" s="15">
        <f t="shared" si="5"/>
        <v>3</v>
      </c>
      <c r="O69" s="14">
        <f t="shared" si="13"/>
        <v>24</v>
      </c>
      <c r="P69" s="15">
        <f t="shared" si="6"/>
        <v>13</v>
      </c>
      <c r="Q69" s="15"/>
      <c r="T69" s="14">
        <f t="shared" si="14"/>
        <v>24</v>
      </c>
      <c r="U69" s="15">
        <f t="shared" si="7"/>
        <v>-13</v>
      </c>
      <c r="Z69" s="14">
        <f t="shared" si="15"/>
        <v>24</v>
      </c>
      <c r="AA69" s="15">
        <f t="shared" si="8"/>
        <v>-3</v>
      </c>
      <c r="AD69" s="14">
        <f t="shared" si="16"/>
        <v>24</v>
      </c>
      <c r="AE69" s="15">
        <f t="shared" si="9"/>
        <v>-13</v>
      </c>
      <c r="AG69" s="14">
        <f t="shared" si="17"/>
        <v>24</v>
      </c>
      <c r="AH69" s="15">
        <f t="shared" si="10"/>
        <v>-16</v>
      </c>
    </row>
    <row r="70" spans="3:34" x14ac:dyDescent="0.2">
      <c r="C70" s="14">
        <f t="shared" si="11"/>
        <v>23</v>
      </c>
      <c r="D70" s="15">
        <f t="shared" si="4"/>
        <v>-3</v>
      </c>
      <c r="I70" s="14">
        <f t="shared" si="12"/>
        <v>23</v>
      </c>
      <c r="J70" s="15">
        <f t="shared" si="5"/>
        <v>3</v>
      </c>
      <c r="O70" s="14">
        <f t="shared" si="13"/>
        <v>23</v>
      </c>
      <c r="P70" s="15">
        <f t="shared" si="6"/>
        <v>14</v>
      </c>
      <c r="Q70" s="15"/>
      <c r="T70" s="14">
        <f t="shared" si="14"/>
        <v>23</v>
      </c>
      <c r="U70" s="15">
        <f t="shared" si="7"/>
        <v>-14</v>
      </c>
      <c r="Z70" s="14">
        <f t="shared" si="15"/>
        <v>23</v>
      </c>
      <c r="AA70" s="15">
        <f t="shared" si="8"/>
        <v>-3</v>
      </c>
      <c r="AD70" s="14">
        <f t="shared" si="16"/>
        <v>23</v>
      </c>
      <c r="AE70" s="15">
        <f t="shared" si="9"/>
        <v>-14</v>
      </c>
      <c r="AG70" s="14">
        <f t="shared" si="17"/>
        <v>23</v>
      </c>
      <c r="AH70" s="15">
        <f t="shared" si="10"/>
        <v>-17</v>
      </c>
    </row>
    <row r="71" spans="3:34" x14ac:dyDescent="0.2">
      <c r="C71" s="14">
        <f t="shared" si="11"/>
        <v>22</v>
      </c>
      <c r="D71" s="15">
        <f t="shared" si="4"/>
        <v>-3</v>
      </c>
      <c r="I71" s="14">
        <f t="shared" si="12"/>
        <v>22</v>
      </c>
      <c r="J71" s="15">
        <f t="shared" si="5"/>
        <v>3</v>
      </c>
      <c r="O71" s="14">
        <f t="shared" si="13"/>
        <v>22</v>
      </c>
      <c r="P71" s="15">
        <f t="shared" si="6"/>
        <v>15</v>
      </c>
      <c r="Q71" s="15"/>
      <c r="T71" s="14">
        <f t="shared" si="14"/>
        <v>22</v>
      </c>
      <c r="U71" s="15">
        <f t="shared" si="7"/>
        <v>-15</v>
      </c>
      <c r="Z71" s="14">
        <f t="shared" si="15"/>
        <v>22</v>
      </c>
      <c r="AA71" s="15">
        <f t="shared" si="8"/>
        <v>-3</v>
      </c>
      <c r="AD71" s="14">
        <f t="shared" si="16"/>
        <v>22</v>
      </c>
      <c r="AE71" s="15">
        <f t="shared" si="9"/>
        <v>-15</v>
      </c>
      <c r="AG71" s="14">
        <f t="shared" si="17"/>
        <v>22</v>
      </c>
      <c r="AH71" s="15">
        <f t="shared" si="10"/>
        <v>-18</v>
      </c>
    </row>
    <row r="72" spans="3:34" x14ac:dyDescent="0.2">
      <c r="C72" s="14">
        <f t="shared" si="11"/>
        <v>21</v>
      </c>
      <c r="D72" s="15">
        <f t="shared" si="4"/>
        <v>-3</v>
      </c>
      <c r="I72" s="14">
        <f t="shared" si="12"/>
        <v>21</v>
      </c>
      <c r="J72" s="15">
        <f t="shared" si="5"/>
        <v>3</v>
      </c>
      <c r="O72" s="14">
        <f t="shared" si="13"/>
        <v>21</v>
      </c>
      <c r="P72" s="15">
        <f t="shared" si="6"/>
        <v>16</v>
      </c>
      <c r="Q72" s="15"/>
      <c r="T72" s="14">
        <f t="shared" si="14"/>
        <v>21</v>
      </c>
      <c r="U72" s="15">
        <f t="shared" si="7"/>
        <v>-16</v>
      </c>
      <c r="Z72" s="14">
        <f t="shared" si="15"/>
        <v>21</v>
      </c>
      <c r="AA72" s="15">
        <f t="shared" si="8"/>
        <v>-3</v>
      </c>
      <c r="AD72" s="14">
        <f t="shared" si="16"/>
        <v>21</v>
      </c>
      <c r="AE72" s="15">
        <f t="shared" si="9"/>
        <v>-16</v>
      </c>
      <c r="AG72" s="14">
        <f t="shared" si="17"/>
        <v>21</v>
      </c>
      <c r="AH72" s="15">
        <f t="shared" si="10"/>
        <v>-19</v>
      </c>
    </row>
    <row r="73" spans="3:34" x14ac:dyDescent="0.2">
      <c r="C73" s="14">
        <f t="shared" si="11"/>
        <v>20</v>
      </c>
      <c r="D73" s="15">
        <f t="shared" si="4"/>
        <v>-3</v>
      </c>
      <c r="I73" s="14">
        <f t="shared" si="12"/>
        <v>20</v>
      </c>
      <c r="J73" s="15">
        <f t="shared" si="5"/>
        <v>3</v>
      </c>
      <c r="O73" s="14">
        <f t="shared" si="13"/>
        <v>20</v>
      </c>
      <c r="P73" s="15">
        <f t="shared" si="6"/>
        <v>17</v>
      </c>
      <c r="Q73" s="15"/>
      <c r="T73" s="14">
        <f t="shared" si="14"/>
        <v>20</v>
      </c>
      <c r="U73" s="15">
        <f t="shared" si="7"/>
        <v>-17</v>
      </c>
      <c r="Z73" s="14">
        <f t="shared" si="15"/>
        <v>20</v>
      </c>
      <c r="AA73" s="15">
        <f t="shared" si="8"/>
        <v>-3</v>
      </c>
      <c r="AD73" s="14">
        <f t="shared" si="16"/>
        <v>20</v>
      </c>
      <c r="AE73" s="15">
        <f t="shared" si="9"/>
        <v>-17</v>
      </c>
      <c r="AG73" s="14">
        <f t="shared" si="17"/>
        <v>20</v>
      </c>
      <c r="AH73" s="15">
        <f t="shared" si="10"/>
        <v>-20</v>
      </c>
    </row>
    <row r="74" spans="3:34" x14ac:dyDescent="0.2">
      <c r="C74" s="14">
        <f t="shared" si="11"/>
        <v>19</v>
      </c>
      <c r="D74" s="15">
        <f t="shared" si="4"/>
        <v>-3</v>
      </c>
      <c r="I74" s="14">
        <f t="shared" si="12"/>
        <v>19</v>
      </c>
      <c r="J74" s="15">
        <f t="shared" si="5"/>
        <v>3</v>
      </c>
      <c r="O74" s="14">
        <f t="shared" si="13"/>
        <v>19</v>
      </c>
      <c r="P74" s="15">
        <f t="shared" si="6"/>
        <v>18</v>
      </c>
      <c r="Q74" s="15"/>
      <c r="T74" s="14">
        <f t="shared" si="14"/>
        <v>19</v>
      </c>
      <c r="U74" s="15">
        <f t="shared" si="7"/>
        <v>-18</v>
      </c>
      <c r="Z74" s="14">
        <f t="shared" si="15"/>
        <v>19</v>
      </c>
      <c r="AA74" s="15">
        <f t="shared" si="8"/>
        <v>-3</v>
      </c>
      <c r="AD74" s="14">
        <f t="shared" si="16"/>
        <v>19</v>
      </c>
      <c r="AE74" s="15">
        <f t="shared" si="9"/>
        <v>-18</v>
      </c>
      <c r="AG74" s="14">
        <f t="shared" si="17"/>
        <v>19</v>
      </c>
      <c r="AH74" s="15">
        <f t="shared" si="10"/>
        <v>-21</v>
      </c>
    </row>
    <row r="75" spans="3:34" x14ac:dyDescent="0.2">
      <c r="C75" s="14">
        <f t="shared" si="11"/>
        <v>18</v>
      </c>
      <c r="D75" s="15">
        <f t="shared" si="4"/>
        <v>-3</v>
      </c>
      <c r="I75" s="14">
        <f t="shared" si="12"/>
        <v>18</v>
      </c>
      <c r="J75" s="15">
        <f t="shared" si="5"/>
        <v>3</v>
      </c>
      <c r="O75" s="14">
        <f t="shared" si="13"/>
        <v>18</v>
      </c>
      <c r="P75" s="15">
        <f t="shared" si="6"/>
        <v>19</v>
      </c>
      <c r="Q75" s="15"/>
      <c r="T75" s="14">
        <f t="shared" si="14"/>
        <v>18</v>
      </c>
      <c r="U75" s="15">
        <f t="shared" si="7"/>
        <v>-19</v>
      </c>
      <c r="Z75" s="14">
        <f t="shared" si="15"/>
        <v>18</v>
      </c>
      <c r="AA75" s="15">
        <f t="shared" si="8"/>
        <v>-3</v>
      </c>
      <c r="AD75" s="14">
        <f t="shared" si="16"/>
        <v>18</v>
      </c>
      <c r="AE75" s="15">
        <f t="shared" si="9"/>
        <v>-19</v>
      </c>
      <c r="AG75" s="14">
        <f t="shared" si="17"/>
        <v>18</v>
      </c>
      <c r="AH75" s="15">
        <f t="shared" si="10"/>
        <v>-22</v>
      </c>
    </row>
    <row r="76" spans="3:34" x14ac:dyDescent="0.2">
      <c r="C76" s="14">
        <f t="shared" si="11"/>
        <v>17</v>
      </c>
      <c r="D76" s="15">
        <f t="shared" si="4"/>
        <v>-3</v>
      </c>
      <c r="I76" s="14">
        <f t="shared" si="12"/>
        <v>17</v>
      </c>
      <c r="J76" s="15">
        <f t="shared" si="5"/>
        <v>3</v>
      </c>
      <c r="O76" s="14">
        <f t="shared" si="13"/>
        <v>17</v>
      </c>
      <c r="P76" s="15">
        <f t="shared" si="6"/>
        <v>20</v>
      </c>
      <c r="Q76" s="15"/>
      <c r="T76" s="14">
        <f t="shared" si="14"/>
        <v>17</v>
      </c>
      <c r="U76" s="15">
        <f t="shared" si="7"/>
        <v>-20</v>
      </c>
      <c r="Z76" s="14">
        <f t="shared" si="15"/>
        <v>17</v>
      </c>
      <c r="AA76" s="15">
        <f t="shared" si="8"/>
        <v>-3</v>
      </c>
      <c r="AD76" s="14">
        <f t="shared" si="16"/>
        <v>17</v>
      </c>
      <c r="AE76" s="15">
        <f t="shared" si="9"/>
        <v>-20</v>
      </c>
      <c r="AG76" s="14">
        <f t="shared" si="17"/>
        <v>17</v>
      </c>
      <c r="AH76" s="15">
        <f t="shared" si="10"/>
        <v>-23</v>
      </c>
    </row>
    <row r="77" spans="3:34" x14ac:dyDescent="0.2">
      <c r="C77" s="14">
        <f t="shared" si="11"/>
        <v>16</v>
      </c>
      <c r="D77" s="15">
        <f t="shared" si="4"/>
        <v>-3</v>
      </c>
      <c r="I77" s="14">
        <f t="shared" si="12"/>
        <v>16</v>
      </c>
      <c r="J77" s="15">
        <f t="shared" si="5"/>
        <v>3</v>
      </c>
      <c r="O77" s="14">
        <f t="shared" si="13"/>
        <v>16</v>
      </c>
      <c r="P77" s="15">
        <f t="shared" si="6"/>
        <v>21</v>
      </c>
      <c r="Q77" s="15"/>
      <c r="T77" s="14">
        <f t="shared" si="14"/>
        <v>16</v>
      </c>
      <c r="U77" s="15">
        <f t="shared" si="7"/>
        <v>-21</v>
      </c>
      <c r="Z77" s="14">
        <f t="shared" si="15"/>
        <v>16</v>
      </c>
      <c r="AA77" s="15">
        <f t="shared" si="8"/>
        <v>-3</v>
      </c>
      <c r="AD77" s="14">
        <f t="shared" si="16"/>
        <v>16</v>
      </c>
      <c r="AE77" s="15">
        <f t="shared" si="9"/>
        <v>-21</v>
      </c>
      <c r="AG77" s="14">
        <f t="shared" si="17"/>
        <v>16</v>
      </c>
      <c r="AH77" s="15">
        <f t="shared" si="10"/>
        <v>-24</v>
      </c>
    </row>
    <row r="78" spans="3:34" x14ac:dyDescent="0.2">
      <c r="C78" s="14">
        <f t="shared" si="11"/>
        <v>15</v>
      </c>
      <c r="D78" s="15">
        <f t="shared" ref="D78:D93" si="18">IF(D$8&lt;$C78,$C78-D$8+D$9,D$9)</f>
        <v>-3</v>
      </c>
      <c r="I78" s="14">
        <f t="shared" si="12"/>
        <v>15</v>
      </c>
      <c r="J78" s="15">
        <f t="shared" ref="J78:J93" si="19">IF(J$8&lt;$I78,J$8-$I78+J$9,J$9)</f>
        <v>3</v>
      </c>
      <c r="O78" s="14">
        <f t="shared" si="13"/>
        <v>15</v>
      </c>
      <c r="P78" s="15">
        <f t="shared" ref="P78:P93" si="20">IF(Q$8&gt;$O78,Q$8-$O78+Q$9,Q$9)</f>
        <v>22</v>
      </c>
      <c r="Q78" s="15"/>
      <c r="T78" s="14">
        <f t="shared" si="14"/>
        <v>15</v>
      </c>
      <c r="U78" s="15">
        <f t="shared" ref="U78:U93" si="21">IF(U$8&gt;$T78,$T78-U$8+U$9,U$9)</f>
        <v>-22</v>
      </c>
      <c r="Z78" s="14">
        <f t="shared" si="15"/>
        <v>15</v>
      </c>
      <c r="AA78" s="15">
        <f t="shared" ref="AA78:AA93" si="22">IF(AA$8&lt;$Z78,$Z78-AA$8+AA$9,AA$9)</f>
        <v>-3</v>
      </c>
      <c r="AD78" s="14">
        <f t="shared" si="16"/>
        <v>15</v>
      </c>
      <c r="AE78" s="15">
        <f t="shared" ref="AE78:AE93" si="23">IF(AE$8&gt;$AD78,$AD78-AE$8+AE$9,AE$9)</f>
        <v>-22</v>
      </c>
      <c r="AG78" s="14">
        <f t="shared" si="17"/>
        <v>15</v>
      </c>
      <c r="AH78" s="15">
        <f t="shared" ref="AH78:AH93" si="24">AA78+AE78</f>
        <v>-25</v>
      </c>
    </row>
    <row r="79" spans="3:34" x14ac:dyDescent="0.2">
      <c r="C79" s="14">
        <f t="shared" ref="C79:C93" si="25">C78-1</f>
        <v>14</v>
      </c>
      <c r="D79" s="15">
        <f t="shared" si="18"/>
        <v>-3</v>
      </c>
      <c r="I79" s="14">
        <f t="shared" ref="I79:I93" si="26">I78-1</f>
        <v>14</v>
      </c>
      <c r="J79" s="15">
        <f t="shared" si="19"/>
        <v>3</v>
      </c>
      <c r="O79" s="14">
        <f t="shared" ref="O79:O93" si="27">O78-1</f>
        <v>14</v>
      </c>
      <c r="P79" s="15">
        <f t="shared" si="20"/>
        <v>23</v>
      </c>
      <c r="Q79" s="15"/>
      <c r="T79" s="14">
        <f t="shared" ref="T79:T93" si="28">T78-1</f>
        <v>14</v>
      </c>
      <c r="U79" s="15">
        <f t="shared" si="21"/>
        <v>-23</v>
      </c>
      <c r="Z79" s="14">
        <f t="shared" ref="Z79:Z93" si="29">Z78-1</f>
        <v>14</v>
      </c>
      <c r="AA79" s="15">
        <f t="shared" si="22"/>
        <v>-3</v>
      </c>
      <c r="AD79" s="14">
        <f t="shared" ref="AD79:AD93" si="30">AD78-1</f>
        <v>14</v>
      </c>
      <c r="AE79" s="15">
        <f t="shared" si="23"/>
        <v>-23</v>
      </c>
      <c r="AG79" s="14">
        <f t="shared" ref="AG79:AG93" si="31">AG78-1</f>
        <v>14</v>
      </c>
      <c r="AH79" s="15">
        <f t="shared" si="24"/>
        <v>-26</v>
      </c>
    </row>
    <row r="80" spans="3:34" x14ac:dyDescent="0.2">
      <c r="C80" s="14">
        <f t="shared" si="25"/>
        <v>13</v>
      </c>
      <c r="D80" s="15">
        <f t="shared" si="18"/>
        <v>-3</v>
      </c>
      <c r="I80" s="14">
        <f t="shared" si="26"/>
        <v>13</v>
      </c>
      <c r="J80" s="15">
        <f t="shared" si="19"/>
        <v>3</v>
      </c>
      <c r="O80" s="14">
        <f t="shared" si="27"/>
        <v>13</v>
      </c>
      <c r="P80" s="15">
        <f t="shared" si="20"/>
        <v>24</v>
      </c>
      <c r="Q80" s="15"/>
      <c r="T80" s="14">
        <f t="shared" si="28"/>
        <v>13</v>
      </c>
      <c r="U80" s="15">
        <f t="shared" si="21"/>
        <v>-24</v>
      </c>
      <c r="Z80" s="14">
        <f t="shared" si="29"/>
        <v>13</v>
      </c>
      <c r="AA80" s="15">
        <f t="shared" si="22"/>
        <v>-3</v>
      </c>
      <c r="AD80" s="14">
        <f t="shared" si="30"/>
        <v>13</v>
      </c>
      <c r="AE80" s="15">
        <f t="shared" si="23"/>
        <v>-24</v>
      </c>
      <c r="AG80" s="14">
        <f t="shared" si="31"/>
        <v>13</v>
      </c>
      <c r="AH80" s="15">
        <f t="shared" si="24"/>
        <v>-27</v>
      </c>
    </row>
    <row r="81" spans="3:38" x14ac:dyDescent="0.2">
      <c r="C81" s="14">
        <f t="shared" si="25"/>
        <v>12</v>
      </c>
      <c r="D81" s="15">
        <f t="shared" si="18"/>
        <v>-3</v>
      </c>
      <c r="I81" s="14">
        <f t="shared" si="26"/>
        <v>12</v>
      </c>
      <c r="J81" s="15">
        <f t="shared" si="19"/>
        <v>3</v>
      </c>
      <c r="O81" s="14">
        <f t="shared" si="27"/>
        <v>12</v>
      </c>
      <c r="P81" s="15">
        <f t="shared" si="20"/>
        <v>25</v>
      </c>
      <c r="Q81" s="15"/>
      <c r="T81" s="14">
        <f t="shared" si="28"/>
        <v>12</v>
      </c>
      <c r="U81" s="15">
        <f t="shared" si="21"/>
        <v>-25</v>
      </c>
      <c r="Z81" s="14">
        <f t="shared" si="29"/>
        <v>12</v>
      </c>
      <c r="AA81" s="15">
        <f t="shared" si="22"/>
        <v>-3</v>
      </c>
      <c r="AD81" s="14">
        <f t="shared" si="30"/>
        <v>12</v>
      </c>
      <c r="AE81" s="15">
        <f t="shared" si="23"/>
        <v>-25</v>
      </c>
      <c r="AG81" s="14">
        <f t="shared" si="31"/>
        <v>12</v>
      </c>
      <c r="AH81" s="15">
        <f t="shared" si="24"/>
        <v>-28</v>
      </c>
    </row>
    <row r="82" spans="3:38" x14ac:dyDescent="0.2">
      <c r="C82" s="14">
        <f t="shared" si="25"/>
        <v>11</v>
      </c>
      <c r="D82" s="15">
        <f t="shared" si="18"/>
        <v>-3</v>
      </c>
      <c r="I82" s="14">
        <f t="shared" si="26"/>
        <v>11</v>
      </c>
      <c r="J82" s="15">
        <f t="shared" si="19"/>
        <v>3</v>
      </c>
      <c r="O82" s="14">
        <f t="shared" si="27"/>
        <v>11</v>
      </c>
      <c r="P82" s="15">
        <f t="shared" si="20"/>
        <v>26</v>
      </c>
      <c r="Q82" s="15"/>
      <c r="T82" s="14">
        <f t="shared" si="28"/>
        <v>11</v>
      </c>
      <c r="U82" s="15">
        <f t="shared" si="21"/>
        <v>-26</v>
      </c>
      <c r="Z82" s="14">
        <f t="shared" si="29"/>
        <v>11</v>
      </c>
      <c r="AA82" s="15">
        <f t="shared" si="22"/>
        <v>-3</v>
      </c>
      <c r="AD82" s="14">
        <f t="shared" si="30"/>
        <v>11</v>
      </c>
      <c r="AE82" s="15">
        <f t="shared" si="23"/>
        <v>-26</v>
      </c>
      <c r="AG82" s="14">
        <f t="shared" si="31"/>
        <v>11</v>
      </c>
      <c r="AH82" s="15">
        <f t="shared" si="24"/>
        <v>-29</v>
      </c>
    </row>
    <row r="83" spans="3:38" x14ac:dyDescent="0.2">
      <c r="C83" s="14">
        <f t="shared" si="25"/>
        <v>10</v>
      </c>
      <c r="D83" s="15">
        <f t="shared" si="18"/>
        <v>-3</v>
      </c>
      <c r="I83" s="14">
        <f t="shared" si="26"/>
        <v>10</v>
      </c>
      <c r="J83" s="15">
        <f t="shared" si="19"/>
        <v>3</v>
      </c>
      <c r="O83" s="14">
        <f t="shared" si="27"/>
        <v>10</v>
      </c>
      <c r="P83" s="15">
        <f t="shared" si="20"/>
        <v>27</v>
      </c>
      <c r="Q83" s="15"/>
      <c r="T83" s="14">
        <f t="shared" si="28"/>
        <v>10</v>
      </c>
      <c r="U83" s="15">
        <f t="shared" si="21"/>
        <v>-27</v>
      </c>
      <c r="Z83" s="14">
        <f t="shared" si="29"/>
        <v>10</v>
      </c>
      <c r="AA83" s="15">
        <f t="shared" si="22"/>
        <v>-3</v>
      </c>
      <c r="AD83" s="14">
        <f t="shared" si="30"/>
        <v>10</v>
      </c>
      <c r="AE83" s="15">
        <f t="shared" si="23"/>
        <v>-27</v>
      </c>
      <c r="AG83" s="14">
        <f t="shared" si="31"/>
        <v>10</v>
      </c>
      <c r="AH83" s="15">
        <f t="shared" si="24"/>
        <v>-30</v>
      </c>
    </row>
    <row r="84" spans="3:38" x14ac:dyDescent="0.2">
      <c r="C84" s="14">
        <f t="shared" si="25"/>
        <v>9</v>
      </c>
      <c r="D84" s="15">
        <f t="shared" si="18"/>
        <v>-3</v>
      </c>
      <c r="I84" s="14">
        <f t="shared" si="26"/>
        <v>9</v>
      </c>
      <c r="J84" s="15">
        <f t="shared" si="19"/>
        <v>3</v>
      </c>
      <c r="O84" s="14">
        <f t="shared" si="27"/>
        <v>9</v>
      </c>
      <c r="P84" s="15">
        <f t="shared" si="20"/>
        <v>28</v>
      </c>
      <c r="Q84" s="15"/>
      <c r="T84" s="14">
        <f t="shared" si="28"/>
        <v>9</v>
      </c>
      <c r="U84" s="15">
        <f t="shared" si="21"/>
        <v>-28</v>
      </c>
      <c r="Z84" s="14">
        <f t="shared" si="29"/>
        <v>9</v>
      </c>
      <c r="AA84" s="15">
        <f t="shared" si="22"/>
        <v>-3</v>
      </c>
      <c r="AD84" s="14">
        <f t="shared" si="30"/>
        <v>9</v>
      </c>
      <c r="AE84" s="15">
        <f t="shared" si="23"/>
        <v>-28</v>
      </c>
      <c r="AG84" s="14">
        <f t="shared" si="31"/>
        <v>9</v>
      </c>
      <c r="AH84" s="15">
        <f t="shared" si="24"/>
        <v>-31</v>
      </c>
    </row>
    <row r="85" spans="3:38" x14ac:dyDescent="0.2">
      <c r="C85" s="14">
        <f t="shared" si="25"/>
        <v>8</v>
      </c>
      <c r="D85" s="15">
        <f t="shared" si="18"/>
        <v>-3</v>
      </c>
      <c r="I85" s="14">
        <f t="shared" si="26"/>
        <v>8</v>
      </c>
      <c r="J85" s="15">
        <f t="shared" si="19"/>
        <v>3</v>
      </c>
      <c r="O85" s="14">
        <f t="shared" si="27"/>
        <v>8</v>
      </c>
      <c r="P85" s="15">
        <f t="shared" si="20"/>
        <v>29</v>
      </c>
      <c r="Q85" s="15"/>
      <c r="T85" s="14">
        <f t="shared" si="28"/>
        <v>8</v>
      </c>
      <c r="U85" s="15">
        <f t="shared" si="21"/>
        <v>-29</v>
      </c>
      <c r="Z85" s="14">
        <f t="shared" si="29"/>
        <v>8</v>
      </c>
      <c r="AA85" s="15">
        <f t="shared" si="22"/>
        <v>-3</v>
      </c>
      <c r="AD85" s="14">
        <f t="shared" si="30"/>
        <v>8</v>
      </c>
      <c r="AE85" s="15">
        <f t="shared" si="23"/>
        <v>-29</v>
      </c>
      <c r="AG85" s="14">
        <f t="shared" si="31"/>
        <v>8</v>
      </c>
      <c r="AH85" s="15">
        <f t="shared" si="24"/>
        <v>-32</v>
      </c>
    </row>
    <row r="86" spans="3:38" x14ac:dyDescent="0.2">
      <c r="C86" s="14">
        <f t="shared" si="25"/>
        <v>7</v>
      </c>
      <c r="D86" s="15">
        <f t="shared" si="18"/>
        <v>-3</v>
      </c>
      <c r="I86" s="14">
        <f t="shared" si="26"/>
        <v>7</v>
      </c>
      <c r="J86" s="15">
        <f t="shared" si="19"/>
        <v>3</v>
      </c>
      <c r="O86" s="14">
        <f t="shared" si="27"/>
        <v>7</v>
      </c>
      <c r="P86" s="15">
        <f t="shared" si="20"/>
        <v>30</v>
      </c>
      <c r="Q86" s="15"/>
      <c r="T86" s="14">
        <f t="shared" si="28"/>
        <v>7</v>
      </c>
      <c r="U86" s="15">
        <f t="shared" si="21"/>
        <v>-30</v>
      </c>
      <c r="Z86" s="14">
        <f t="shared" si="29"/>
        <v>7</v>
      </c>
      <c r="AA86" s="15">
        <f t="shared" si="22"/>
        <v>-3</v>
      </c>
      <c r="AD86" s="14">
        <f t="shared" si="30"/>
        <v>7</v>
      </c>
      <c r="AE86" s="15">
        <f t="shared" si="23"/>
        <v>-30</v>
      </c>
      <c r="AG86" s="14">
        <f t="shared" si="31"/>
        <v>7</v>
      </c>
      <c r="AH86" s="15">
        <f t="shared" si="24"/>
        <v>-33</v>
      </c>
    </row>
    <row r="87" spans="3:38" x14ac:dyDescent="0.2">
      <c r="C87" s="14">
        <f t="shared" si="25"/>
        <v>6</v>
      </c>
      <c r="D87" s="15">
        <f t="shared" si="18"/>
        <v>-3</v>
      </c>
      <c r="I87" s="14">
        <f t="shared" si="26"/>
        <v>6</v>
      </c>
      <c r="J87" s="15">
        <f t="shared" si="19"/>
        <v>3</v>
      </c>
      <c r="O87" s="14">
        <f t="shared" si="27"/>
        <v>6</v>
      </c>
      <c r="P87" s="15">
        <f t="shared" si="20"/>
        <v>31</v>
      </c>
      <c r="Q87" s="15"/>
      <c r="T87" s="14">
        <f t="shared" si="28"/>
        <v>6</v>
      </c>
      <c r="U87" s="15">
        <f t="shared" si="21"/>
        <v>-31</v>
      </c>
      <c r="Z87" s="14">
        <f t="shared" si="29"/>
        <v>6</v>
      </c>
      <c r="AA87" s="15">
        <f t="shared" si="22"/>
        <v>-3</v>
      </c>
      <c r="AD87" s="14">
        <f t="shared" si="30"/>
        <v>6</v>
      </c>
      <c r="AE87" s="15">
        <f t="shared" si="23"/>
        <v>-31</v>
      </c>
      <c r="AG87" s="14">
        <f t="shared" si="31"/>
        <v>6</v>
      </c>
      <c r="AH87" s="15">
        <f t="shared" si="24"/>
        <v>-34</v>
      </c>
    </row>
    <row r="88" spans="3:38" x14ac:dyDescent="0.2">
      <c r="C88" s="14">
        <f t="shared" si="25"/>
        <v>5</v>
      </c>
      <c r="D88" s="15">
        <f t="shared" si="18"/>
        <v>-3</v>
      </c>
      <c r="I88" s="14">
        <f t="shared" si="26"/>
        <v>5</v>
      </c>
      <c r="J88" s="15">
        <f t="shared" si="19"/>
        <v>3</v>
      </c>
      <c r="O88" s="14">
        <f t="shared" si="27"/>
        <v>5</v>
      </c>
      <c r="P88" s="15">
        <f t="shared" si="20"/>
        <v>32</v>
      </c>
      <c r="Q88" s="15"/>
      <c r="T88" s="14">
        <f t="shared" si="28"/>
        <v>5</v>
      </c>
      <c r="U88" s="15">
        <f t="shared" si="21"/>
        <v>-32</v>
      </c>
      <c r="Z88" s="14">
        <f t="shared" si="29"/>
        <v>5</v>
      </c>
      <c r="AA88" s="15">
        <f t="shared" si="22"/>
        <v>-3</v>
      </c>
      <c r="AD88" s="14">
        <f t="shared" si="30"/>
        <v>5</v>
      </c>
      <c r="AE88" s="15">
        <f t="shared" si="23"/>
        <v>-32</v>
      </c>
      <c r="AG88" s="14">
        <f t="shared" si="31"/>
        <v>5</v>
      </c>
      <c r="AH88" s="15">
        <f t="shared" si="24"/>
        <v>-35</v>
      </c>
    </row>
    <row r="89" spans="3:38" x14ac:dyDescent="0.2">
      <c r="C89" s="14">
        <f t="shared" si="25"/>
        <v>4</v>
      </c>
      <c r="D89" s="15">
        <f t="shared" si="18"/>
        <v>-3</v>
      </c>
      <c r="I89" s="14">
        <f t="shared" si="26"/>
        <v>4</v>
      </c>
      <c r="J89" s="15">
        <f t="shared" si="19"/>
        <v>3</v>
      </c>
      <c r="O89" s="14">
        <f t="shared" si="27"/>
        <v>4</v>
      </c>
      <c r="P89" s="15">
        <f t="shared" si="20"/>
        <v>33</v>
      </c>
      <c r="Q89" s="15"/>
      <c r="T89" s="14">
        <f t="shared" si="28"/>
        <v>4</v>
      </c>
      <c r="U89" s="15">
        <f t="shared" si="21"/>
        <v>-33</v>
      </c>
      <c r="Z89" s="14">
        <f t="shared" si="29"/>
        <v>4</v>
      </c>
      <c r="AA89" s="15">
        <f t="shared" si="22"/>
        <v>-3</v>
      </c>
      <c r="AD89" s="14">
        <f t="shared" si="30"/>
        <v>4</v>
      </c>
      <c r="AE89" s="15">
        <f t="shared" si="23"/>
        <v>-33</v>
      </c>
      <c r="AG89" s="14">
        <f t="shared" si="31"/>
        <v>4</v>
      </c>
      <c r="AH89" s="15">
        <f t="shared" si="24"/>
        <v>-36</v>
      </c>
    </row>
    <row r="90" spans="3:38" x14ac:dyDescent="0.2">
      <c r="C90" s="14">
        <f t="shared" si="25"/>
        <v>3</v>
      </c>
      <c r="D90" s="15">
        <f t="shared" si="18"/>
        <v>-3</v>
      </c>
      <c r="I90" s="14">
        <f t="shared" si="26"/>
        <v>3</v>
      </c>
      <c r="J90" s="15">
        <f t="shared" si="19"/>
        <v>3</v>
      </c>
      <c r="O90" s="14">
        <f t="shared" si="27"/>
        <v>3</v>
      </c>
      <c r="P90" s="15">
        <f t="shared" si="20"/>
        <v>34</v>
      </c>
      <c r="Q90" s="15"/>
      <c r="T90" s="14">
        <f t="shared" si="28"/>
        <v>3</v>
      </c>
      <c r="U90" s="15">
        <f t="shared" si="21"/>
        <v>-34</v>
      </c>
      <c r="Z90" s="14">
        <f t="shared" si="29"/>
        <v>3</v>
      </c>
      <c r="AA90" s="15">
        <f t="shared" si="22"/>
        <v>-3</v>
      </c>
      <c r="AD90" s="14">
        <f t="shared" si="30"/>
        <v>3</v>
      </c>
      <c r="AE90" s="15">
        <f t="shared" si="23"/>
        <v>-34</v>
      </c>
      <c r="AG90" s="14">
        <f t="shared" si="31"/>
        <v>3</v>
      </c>
      <c r="AH90" s="15">
        <f t="shared" si="24"/>
        <v>-37</v>
      </c>
    </row>
    <row r="91" spans="3:38" x14ac:dyDescent="0.2">
      <c r="C91" s="14">
        <f t="shared" si="25"/>
        <v>2</v>
      </c>
      <c r="D91" s="15">
        <f t="shared" si="18"/>
        <v>-3</v>
      </c>
      <c r="I91" s="14">
        <f t="shared" si="26"/>
        <v>2</v>
      </c>
      <c r="J91" s="15">
        <f t="shared" si="19"/>
        <v>3</v>
      </c>
      <c r="O91" s="14">
        <f t="shared" si="27"/>
        <v>2</v>
      </c>
      <c r="P91" s="15">
        <f t="shared" si="20"/>
        <v>35</v>
      </c>
      <c r="Q91" s="15"/>
      <c r="T91" s="14">
        <f t="shared" si="28"/>
        <v>2</v>
      </c>
      <c r="U91" s="15">
        <f t="shared" si="21"/>
        <v>-35</v>
      </c>
      <c r="Z91" s="14">
        <f t="shared" si="29"/>
        <v>2</v>
      </c>
      <c r="AA91" s="15">
        <f t="shared" si="22"/>
        <v>-3</v>
      </c>
      <c r="AD91" s="14">
        <f t="shared" si="30"/>
        <v>2</v>
      </c>
      <c r="AE91" s="15">
        <f t="shared" si="23"/>
        <v>-35</v>
      </c>
      <c r="AG91" s="14">
        <f t="shared" si="31"/>
        <v>2</v>
      </c>
      <c r="AH91" s="15">
        <f t="shared" si="24"/>
        <v>-38</v>
      </c>
    </row>
    <row r="92" spans="3:38" x14ac:dyDescent="0.2">
      <c r="C92" s="14">
        <f t="shared" si="25"/>
        <v>1</v>
      </c>
      <c r="D92" s="15">
        <f t="shared" si="18"/>
        <v>-3</v>
      </c>
      <c r="I92" s="14">
        <f t="shared" si="26"/>
        <v>1</v>
      </c>
      <c r="J92" s="15">
        <f t="shared" si="19"/>
        <v>3</v>
      </c>
      <c r="O92" s="14">
        <f t="shared" si="27"/>
        <v>1</v>
      </c>
      <c r="P92" s="15">
        <f t="shared" si="20"/>
        <v>36</v>
      </c>
      <c r="Q92" s="15"/>
      <c r="T92" s="14">
        <f t="shared" si="28"/>
        <v>1</v>
      </c>
      <c r="U92" s="15">
        <f t="shared" si="21"/>
        <v>-36</v>
      </c>
      <c r="Z92" s="14">
        <f t="shared" si="29"/>
        <v>1</v>
      </c>
      <c r="AA92" s="15">
        <f t="shared" si="22"/>
        <v>-3</v>
      </c>
      <c r="AD92" s="14">
        <f t="shared" si="30"/>
        <v>1</v>
      </c>
      <c r="AE92" s="15">
        <f t="shared" si="23"/>
        <v>-36</v>
      </c>
      <c r="AG92" s="14">
        <f t="shared" si="31"/>
        <v>1</v>
      </c>
      <c r="AH92" s="15">
        <f t="shared" si="24"/>
        <v>-39</v>
      </c>
    </row>
    <row r="93" spans="3:38" x14ac:dyDescent="0.2">
      <c r="C93" s="14">
        <f t="shared" si="25"/>
        <v>0</v>
      </c>
      <c r="D93" s="15">
        <f t="shared" si="18"/>
        <v>-3</v>
      </c>
      <c r="I93" s="14">
        <f t="shared" si="26"/>
        <v>0</v>
      </c>
      <c r="J93" s="15">
        <f t="shared" si="19"/>
        <v>3</v>
      </c>
      <c r="O93" s="14">
        <f t="shared" si="27"/>
        <v>0</v>
      </c>
      <c r="P93" s="15">
        <f t="shared" si="20"/>
        <v>37</v>
      </c>
      <c r="Q93" s="15"/>
      <c r="T93" s="14">
        <f t="shared" si="28"/>
        <v>0</v>
      </c>
      <c r="U93" s="15">
        <f t="shared" si="21"/>
        <v>-37</v>
      </c>
      <c r="Z93" s="14">
        <f t="shared" si="29"/>
        <v>0</v>
      </c>
      <c r="AA93" s="15">
        <f t="shared" si="22"/>
        <v>-3</v>
      </c>
      <c r="AD93" s="14">
        <f t="shared" si="30"/>
        <v>0</v>
      </c>
      <c r="AE93" s="15">
        <f t="shared" si="23"/>
        <v>-37</v>
      </c>
      <c r="AG93" s="14">
        <f t="shared" si="31"/>
        <v>0</v>
      </c>
      <c r="AH93" s="15">
        <f t="shared" si="24"/>
        <v>-40</v>
      </c>
    </row>
    <row r="94" spans="3:38" x14ac:dyDescent="0.2">
      <c r="AL94" s="14"/>
    </row>
    <row r="95" spans="3:38" x14ac:dyDescent="0.2">
      <c r="AL95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10D15-0D29-426E-810B-C96479E75E58}">
  <sheetPr>
    <tabColor theme="5" tint="-0.499984740745262"/>
  </sheetPr>
  <dimension ref="C2:Q66"/>
  <sheetViews>
    <sheetView zoomScale="90" zoomScaleNormal="90" workbookViewId="0">
      <selection activeCell="H8" sqref="H8"/>
    </sheetView>
  </sheetViews>
  <sheetFormatPr defaultColWidth="9.6640625" defaultRowHeight="10.199999999999999" x14ac:dyDescent="0.2"/>
  <cols>
    <col min="1" max="2" width="4.5546875" style="90" customWidth="1"/>
    <col min="3" max="3" width="22.77734375" style="90" bestFit="1" customWidth="1"/>
    <col min="4" max="6" width="9.6640625" style="90"/>
    <col min="7" max="7" width="16.88671875" style="90" customWidth="1"/>
    <col min="8" max="9" width="9.6640625" style="90"/>
    <col min="10" max="10" width="10.21875" style="90" bestFit="1" customWidth="1"/>
    <col min="11" max="11" width="10.21875" style="90" customWidth="1"/>
    <col min="12" max="12" width="11.109375" style="93" customWidth="1"/>
    <col min="13" max="13" width="11.77734375" style="90" customWidth="1"/>
    <col min="14" max="14" width="9.6640625" style="90"/>
    <col min="15" max="15" width="13.44140625" style="95" bestFit="1" customWidth="1"/>
    <col min="16" max="18" width="10.21875" style="90" bestFit="1" customWidth="1"/>
    <col min="19" max="16384" width="9.6640625" style="90"/>
  </cols>
  <sheetData>
    <row r="2" spans="3:17" x14ac:dyDescent="0.2">
      <c r="C2" s="99" t="s">
        <v>247</v>
      </c>
    </row>
    <row r="4" spans="3:17" ht="20.399999999999999" x14ac:dyDescent="0.2">
      <c r="G4" s="134" t="s">
        <v>220</v>
      </c>
      <c r="H4" s="89" t="s">
        <v>38</v>
      </c>
      <c r="I4" s="89" t="s">
        <v>39</v>
      </c>
      <c r="J4" s="125" t="s">
        <v>225</v>
      </c>
      <c r="K4" s="89"/>
      <c r="L4" s="91" t="s">
        <v>223</v>
      </c>
      <c r="M4" s="89" t="s">
        <v>215</v>
      </c>
      <c r="N4" s="89" t="s">
        <v>216</v>
      </c>
      <c r="O4" s="92" t="s">
        <v>46</v>
      </c>
      <c r="P4" s="89" t="s">
        <v>48</v>
      </c>
      <c r="Q4" s="89" t="s">
        <v>50</v>
      </c>
    </row>
    <row r="5" spans="3:17" x14ac:dyDescent="0.2">
      <c r="G5" s="90">
        <v>50</v>
      </c>
      <c r="H5" s="93">
        <f t="shared" ref="H5:H25" si="0">(LN(G5/$D$6)+($D$10+$D$8^2/2)*$D$7)/$E$8</f>
        <v>-4.7598693611054257</v>
      </c>
      <c r="I5" s="93">
        <f t="shared" ref="I5:I25" si="1">H5-$D$8*SQRT($D$7)</f>
        <v>-4.9012907173427349</v>
      </c>
      <c r="J5" s="126">
        <f t="shared" ref="J5:J25" si="2">G5*_xlfn.NORM.S.DIST(H5,1)-$D$6*EXP(-$D$10*$D$7)*_xlfn.NORM.S.DIST(I5,1)</f>
        <v>1.2987290825236631E-6</v>
      </c>
      <c r="K5" s="93"/>
      <c r="L5" s="93">
        <f t="shared" ref="L5:L25" si="3">J5-$D$9</f>
        <v>-6.1206528147267667</v>
      </c>
      <c r="M5" s="93">
        <f t="shared" ref="M5:M25" si="4">$D$13*(G5-$D$6)</f>
        <v>25</v>
      </c>
      <c r="N5" s="93">
        <f>L5+M5</f>
        <v>18.879347185273232</v>
      </c>
      <c r="O5" s="94">
        <f>_xlfn.NORM.S.DIST(H5,TRUE)</f>
        <v>9.6859152861469023E-7</v>
      </c>
      <c r="P5" s="93">
        <f t="shared" ref="P5:P25" si="5">_xlfn.NORM.S.DIST(H5,FALSE)/(G5*$D$8*$D$7^(1/2))</f>
        <v>6.7867178697506155E-7</v>
      </c>
      <c r="Q5" s="93">
        <f t="shared" ref="Q5:Q25" si="6">G5*_xlfn.NORM.S.DIST(H5,FALSE)*($D$7)^(1/2)</f>
        <v>1.6966794674376542E-4</v>
      </c>
    </row>
    <row r="6" spans="3:17" x14ac:dyDescent="0.2">
      <c r="C6" s="133" t="s">
        <v>221</v>
      </c>
      <c r="D6" s="133">
        <v>100</v>
      </c>
      <c r="G6" s="90">
        <f>G5+5</f>
        <v>55</v>
      </c>
      <c r="H6" s="93">
        <f t="shared" si="0"/>
        <v>-4.0859246165479526</v>
      </c>
      <c r="I6" s="93">
        <f t="shared" si="1"/>
        <v>-4.2273459727852618</v>
      </c>
      <c r="J6" s="126">
        <f t="shared" si="2"/>
        <v>3.6739461563405377E-5</v>
      </c>
      <c r="K6" s="93"/>
      <c r="L6" s="93">
        <f t="shared" si="3"/>
        <v>-6.1206173739942855</v>
      </c>
      <c r="M6" s="93">
        <f t="shared" si="4"/>
        <v>22.5</v>
      </c>
      <c r="N6" s="93">
        <f t="shared" ref="N6:N25" si="7">L6+M6</f>
        <v>16.379382626005714</v>
      </c>
      <c r="O6" s="94">
        <f t="shared" ref="O6:O25" si="8">_xlfn.NORM.S.DIST(H6,TRUE)</f>
        <v>2.1950815799503649E-5</v>
      </c>
      <c r="P6" s="93">
        <f t="shared" si="5"/>
        <v>1.2156455629159708E-5</v>
      </c>
      <c r="Q6" s="93">
        <f t="shared" si="6"/>
        <v>3.6773278278208121E-3</v>
      </c>
    </row>
    <row r="7" spans="3:17" x14ac:dyDescent="0.2">
      <c r="C7" s="133" t="s">
        <v>222</v>
      </c>
      <c r="D7" s="133">
        <v>0.5</v>
      </c>
      <c r="E7" s="133" t="s">
        <v>217</v>
      </c>
      <c r="G7" s="90">
        <f t="shared" ref="G7:G25" si="9">G6+5</f>
        <v>60</v>
      </c>
      <c r="H7" s="93">
        <f t="shared" si="0"/>
        <v>-3.4706612694504901</v>
      </c>
      <c r="I7" s="93">
        <f t="shared" si="1"/>
        <v>-3.6120826256877998</v>
      </c>
      <c r="J7" s="126">
        <f t="shared" si="2"/>
        <v>5.3908405583005456E-4</v>
      </c>
      <c r="K7" s="93"/>
      <c r="L7" s="93">
        <f t="shared" si="3"/>
        <v>-6.1201150294000195</v>
      </c>
      <c r="M7" s="93">
        <f t="shared" si="4"/>
        <v>20</v>
      </c>
      <c r="N7" s="93">
        <f t="shared" si="7"/>
        <v>13.879884970599981</v>
      </c>
      <c r="O7" s="94">
        <f>_xlfn.NORM.S.DIST(H7,TRUE)</f>
        <v>2.5958923822603022E-4</v>
      </c>
      <c r="P7" s="93">
        <f t="shared" si="5"/>
        <v>1.1391973729577773E-4</v>
      </c>
      <c r="Q7" s="93">
        <f t="shared" si="6"/>
        <v>4.1011105426479989E-2</v>
      </c>
    </row>
    <row r="8" spans="3:17" x14ac:dyDescent="0.2">
      <c r="C8" s="133" t="s">
        <v>49</v>
      </c>
      <c r="D8" s="135">
        <v>0.2</v>
      </c>
      <c r="E8" s="133">
        <f>D8*SQRT(D7)</f>
        <v>0.14142135623730953</v>
      </c>
      <c r="G8" s="90">
        <f t="shared" si="9"/>
        <v>65</v>
      </c>
      <c r="H8" s="93">
        <f t="shared" si="0"/>
        <v>-2.9046738556455889</v>
      </c>
      <c r="I8" s="93">
        <f t="shared" si="1"/>
        <v>-3.0460952118828986</v>
      </c>
      <c r="J8" s="126">
        <f>G8*_xlfn.NORM.S.DIST(H8,1)-$D$6*EXP(-$D$10*$D$7)*_xlfn.NORM.S.DIST(I8,1)</f>
        <v>4.7178793808512476E-3</v>
      </c>
      <c r="K8" s="93"/>
      <c r="L8" s="93">
        <f t="shared" si="3"/>
        <v>-6.1159362340749981</v>
      </c>
      <c r="M8" s="93">
        <f t="shared" si="4"/>
        <v>17.5</v>
      </c>
      <c r="N8" s="93">
        <f t="shared" si="7"/>
        <v>11.384063765925003</v>
      </c>
      <c r="O8" s="94">
        <f t="shared" si="8"/>
        <v>1.8381798217257076E-3</v>
      </c>
      <c r="P8" s="93">
        <f t="shared" si="5"/>
        <v>6.3882538475654844E-4</v>
      </c>
      <c r="Q8" s="93">
        <f t="shared" si="6"/>
        <v>0.26990372505964177</v>
      </c>
    </row>
    <row r="9" spans="3:17" x14ac:dyDescent="0.2">
      <c r="C9" s="90" t="s">
        <v>20</v>
      </c>
      <c r="D9" s="90">
        <v>6.1206541134558492</v>
      </c>
      <c r="G9" s="90">
        <f t="shared" si="9"/>
        <v>70</v>
      </c>
      <c r="H9" s="93">
        <f>(LN(G9/$D$6)+($D$10+$D$8^2/2)*$D$7)/$E$8</f>
        <v>-2.3806513591467837</v>
      </c>
      <c r="I9" s="93">
        <f t="shared" si="1"/>
        <v>-2.5220727153840934</v>
      </c>
      <c r="J9" s="126">
        <f t="shared" si="2"/>
        <v>2.7348352263902642E-2</v>
      </c>
      <c r="K9" s="93"/>
      <c r="L9" s="93">
        <f t="shared" si="3"/>
        <v>-6.0933057611919468</v>
      </c>
      <c r="M9" s="93">
        <f t="shared" si="4"/>
        <v>15</v>
      </c>
      <c r="N9" s="93">
        <f t="shared" si="7"/>
        <v>8.9066942388080541</v>
      </c>
      <c r="O9" s="94">
        <f t="shared" si="8"/>
        <v>8.6410298124148851E-3</v>
      </c>
      <c r="P9" s="93">
        <f t="shared" si="5"/>
        <v>2.3692715843692943E-3</v>
      </c>
      <c r="Q9" s="93">
        <f t="shared" si="6"/>
        <v>1.1609430763409545</v>
      </c>
    </row>
    <row r="10" spans="3:17" x14ac:dyDescent="0.2">
      <c r="C10" s="133" t="s">
        <v>224</v>
      </c>
      <c r="D10" s="135">
        <v>0.02</v>
      </c>
      <c r="G10" s="90">
        <f t="shared" si="9"/>
        <v>75</v>
      </c>
      <c r="H10" s="93">
        <f t="shared" si="0"/>
        <v>-1.8927980863272296</v>
      </c>
      <c r="I10" s="93">
        <f>H10-$D$8*SQRT($D$7)</f>
        <v>-2.034219442564539</v>
      </c>
      <c r="J10" s="126">
        <f t="shared" si="2"/>
        <v>0.11381373872559308</v>
      </c>
      <c r="K10" s="93"/>
      <c r="L10" s="93">
        <f t="shared" si="3"/>
        <v>-6.0068403747302561</v>
      </c>
      <c r="M10" s="93">
        <f t="shared" si="4"/>
        <v>12.5</v>
      </c>
      <c r="N10" s="93">
        <f t="shared" si="7"/>
        <v>6.4931596252697439</v>
      </c>
      <c r="O10" s="94">
        <f t="shared" si="8"/>
        <v>2.9192363085745514E-2</v>
      </c>
      <c r="P10" s="93">
        <f t="shared" si="5"/>
        <v>6.2713888491247993E-3</v>
      </c>
      <c r="Q10" s="93">
        <f t="shared" si="6"/>
        <v>3.5276562276327001</v>
      </c>
    </row>
    <row r="11" spans="3:17" x14ac:dyDescent="0.2">
      <c r="G11" s="90">
        <f t="shared" si="9"/>
        <v>80</v>
      </c>
      <c r="H11" s="93">
        <f t="shared" si="0"/>
        <v>-1.4364418268859502</v>
      </c>
      <c r="I11" s="93">
        <f t="shared" si="1"/>
        <v>-1.5778631831232597</v>
      </c>
      <c r="J11" s="126">
        <f t="shared" si="2"/>
        <v>0.36222708555313776</v>
      </c>
      <c r="K11" s="93"/>
      <c r="L11" s="93">
        <f t="shared" si="3"/>
        <v>-5.7584270279027114</v>
      </c>
      <c r="M11" s="93">
        <f t="shared" si="4"/>
        <v>10</v>
      </c>
      <c r="N11" s="93">
        <f t="shared" si="7"/>
        <v>4.2415729720972886</v>
      </c>
      <c r="O11" s="94">
        <f t="shared" si="8"/>
        <v>7.5438329214875352E-2</v>
      </c>
      <c r="P11" s="93">
        <f t="shared" si="5"/>
        <v>1.2567562036089662E-2</v>
      </c>
      <c r="Q11" s="93">
        <f t="shared" si="6"/>
        <v>8.0432397030973846</v>
      </c>
    </row>
    <row r="12" spans="3:17" x14ac:dyDescent="0.2">
      <c r="C12" s="90" t="s">
        <v>36</v>
      </c>
      <c r="D12" s="90">
        <v>1</v>
      </c>
      <c r="G12" s="90">
        <f t="shared" si="9"/>
        <v>85</v>
      </c>
      <c r="H12" s="93">
        <f t="shared" si="0"/>
        <v>-1.0077610149532412</v>
      </c>
      <c r="I12" s="93">
        <f t="shared" si="1"/>
        <v>-1.1491823711905507</v>
      </c>
      <c r="J12" s="126">
        <f t="shared" si="2"/>
        <v>0.92726808942180838</v>
      </c>
      <c r="K12" s="93"/>
      <c r="L12" s="93">
        <f t="shared" si="3"/>
        <v>-5.1933860240340408</v>
      </c>
      <c r="M12" s="93">
        <f t="shared" si="4"/>
        <v>7.5</v>
      </c>
      <c r="N12" s="93">
        <f t="shared" si="7"/>
        <v>2.3066139759659592</v>
      </c>
      <c r="O12" s="94">
        <f t="shared" si="8"/>
        <v>0.15678460280121978</v>
      </c>
      <c r="P12" s="93">
        <f t="shared" si="5"/>
        <v>1.9973089856499992E-2</v>
      </c>
      <c r="Q12" s="93">
        <f t="shared" si="6"/>
        <v>14.430557421321247</v>
      </c>
    </row>
    <row r="13" spans="3:17" x14ac:dyDescent="0.2">
      <c r="C13" s="90" t="s">
        <v>218</v>
      </c>
      <c r="D13" s="90">
        <v>-0.5</v>
      </c>
      <c r="G13" s="90">
        <f t="shared" si="9"/>
        <v>90</v>
      </c>
      <c r="H13" s="93">
        <f t="shared" si="0"/>
        <v>-0.60358999467229413</v>
      </c>
      <c r="I13" s="93">
        <f t="shared" si="1"/>
        <v>-0.74501135090960369</v>
      </c>
      <c r="J13" s="126">
        <f t="shared" si="2"/>
        <v>1.9889846527049784</v>
      </c>
      <c r="K13" s="93"/>
      <c r="L13" s="93">
        <f t="shared" si="3"/>
        <v>-4.1316694607508708</v>
      </c>
      <c r="M13" s="93">
        <f t="shared" si="4"/>
        <v>5</v>
      </c>
      <c r="N13" s="93">
        <f t="shared" si="7"/>
        <v>0.86833053924912917</v>
      </c>
      <c r="O13" s="94">
        <f t="shared" si="8"/>
        <v>0.27305813322768774</v>
      </c>
      <c r="P13" s="93">
        <f t="shared" si="5"/>
        <v>2.6124096797086768E-2</v>
      </c>
      <c r="Q13" s="93">
        <f t="shared" si="6"/>
        <v>21.160518405640286</v>
      </c>
    </row>
    <row r="14" spans="3:17" x14ac:dyDescent="0.2">
      <c r="G14" s="90">
        <f t="shared" si="9"/>
        <v>95</v>
      </c>
      <c r="H14" s="93">
        <f t="shared" si="0"/>
        <v>-0.22127700667103936</v>
      </c>
      <c r="I14" s="93">
        <f t="shared" si="1"/>
        <v>-0.36269836290834889</v>
      </c>
      <c r="J14" s="126">
        <f t="shared" si="2"/>
        <v>3.6967635884087713</v>
      </c>
      <c r="K14" s="93"/>
      <c r="L14" s="93">
        <f t="shared" si="3"/>
        <v>-2.4238905250470779</v>
      </c>
      <c r="M14" s="93">
        <f t="shared" si="4"/>
        <v>2.5</v>
      </c>
      <c r="N14" s="93">
        <f t="shared" si="7"/>
        <v>7.6109474952922085E-2</v>
      </c>
      <c r="O14" s="94">
        <f t="shared" si="8"/>
        <v>0.41243837613466122</v>
      </c>
      <c r="P14" s="93">
        <f t="shared" si="5"/>
        <v>2.8976049227637444E-2</v>
      </c>
      <c r="Q14" s="93">
        <f t="shared" si="6"/>
        <v>26.150884427942799</v>
      </c>
    </row>
    <row r="15" spans="3:17" x14ac:dyDescent="0.2">
      <c r="G15" s="90">
        <f t="shared" si="9"/>
        <v>100</v>
      </c>
      <c r="H15" s="93">
        <f t="shared" si="0"/>
        <v>0.1414213562373095</v>
      </c>
      <c r="I15" s="93">
        <f t="shared" si="1"/>
        <v>0</v>
      </c>
      <c r="J15" s="126">
        <f t="shared" si="2"/>
        <v>6.1206541134558492</v>
      </c>
      <c r="K15" s="93"/>
      <c r="L15" s="93">
        <f t="shared" si="3"/>
        <v>0</v>
      </c>
      <c r="M15" s="93">
        <f t="shared" si="4"/>
        <v>0</v>
      </c>
      <c r="N15" s="93">
        <f t="shared" si="7"/>
        <v>0</v>
      </c>
      <c r="O15" s="94">
        <f t="shared" si="8"/>
        <v>0.55623145800914253</v>
      </c>
      <c r="P15" s="93">
        <f t="shared" si="5"/>
        <v>2.7928790169723425E-2</v>
      </c>
      <c r="Q15" s="93">
        <f t="shared" si="6"/>
        <v>27.928790169723428</v>
      </c>
    </row>
    <row r="16" spans="3:17" x14ac:dyDescent="0.2">
      <c r="C16" s="90" t="s">
        <v>219</v>
      </c>
      <c r="G16" s="90">
        <f t="shared" si="9"/>
        <v>105</v>
      </c>
      <c r="H16" s="93">
        <f t="shared" si="0"/>
        <v>0.48641991563141262</v>
      </c>
      <c r="I16" s="93">
        <f t="shared" si="1"/>
        <v>0.34499855939410307</v>
      </c>
      <c r="J16" s="126">
        <f t="shared" si="2"/>
        <v>9.2364134207558877</v>
      </c>
      <c r="K16" s="93"/>
      <c r="L16" s="93">
        <f t="shared" si="3"/>
        <v>3.1157593073000385</v>
      </c>
      <c r="M16" s="93">
        <f>$D$13*(G16-$D$6)</f>
        <v>-2.5</v>
      </c>
      <c r="N16" s="93">
        <f t="shared" si="7"/>
        <v>0.61575930730003847</v>
      </c>
      <c r="O16" s="94">
        <f t="shared" si="8"/>
        <v>0.68666526347543833</v>
      </c>
      <c r="P16" s="93">
        <f t="shared" si="5"/>
        <v>2.3868646390298731E-2</v>
      </c>
      <c r="Q16" s="93">
        <f t="shared" si="6"/>
        <v>26.315182645304354</v>
      </c>
    </row>
    <row r="17" spans="7:17" x14ac:dyDescent="0.2">
      <c r="G17" s="90">
        <f t="shared" si="9"/>
        <v>110</v>
      </c>
      <c r="H17" s="93">
        <f t="shared" si="0"/>
        <v>0.81536610079478233</v>
      </c>
      <c r="I17" s="93">
        <f t="shared" si="1"/>
        <v>0.67394474455747277</v>
      </c>
      <c r="J17" s="126">
        <f t="shared" si="2"/>
        <v>12.945959260654902</v>
      </c>
      <c r="K17" s="93"/>
      <c r="L17" s="93">
        <f t="shared" si="3"/>
        <v>6.8253051471990531</v>
      </c>
      <c r="M17" s="93">
        <f t="shared" si="4"/>
        <v>-5</v>
      </c>
      <c r="N17" s="93">
        <f t="shared" si="7"/>
        <v>1.8253051471990531</v>
      </c>
      <c r="O17" s="94">
        <f t="shared" si="8"/>
        <v>0.79256860877545754</v>
      </c>
      <c r="P17" s="93">
        <f t="shared" si="5"/>
        <v>1.8392389106658354E-2</v>
      </c>
      <c r="Q17" s="93">
        <f t="shared" si="6"/>
        <v>22.254790819056613</v>
      </c>
    </row>
    <row r="18" spans="7:17" x14ac:dyDescent="0.2">
      <c r="G18" s="90">
        <f t="shared" si="9"/>
        <v>115</v>
      </c>
      <c r="H18" s="93">
        <f t="shared" si="0"/>
        <v>1.1296875282900907</v>
      </c>
      <c r="I18" s="93">
        <f t="shared" si="1"/>
        <v>0.98826617205278111</v>
      </c>
      <c r="J18" s="126">
        <f t="shared" si="2"/>
        <v>17.115470670070735</v>
      </c>
      <c r="K18" s="93"/>
      <c r="L18" s="93">
        <f t="shared" si="3"/>
        <v>10.994816556614886</v>
      </c>
      <c r="M18" s="93">
        <f t="shared" si="4"/>
        <v>-7.5</v>
      </c>
      <c r="N18" s="93">
        <f t="shared" si="7"/>
        <v>3.4948165566148859</v>
      </c>
      <c r="O18" s="94">
        <f t="shared" si="8"/>
        <v>0.87069604286244628</v>
      </c>
      <c r="P18" s="93">
        <f t="shared" si="5"/>
        <v>1.2959111925913936E-2</v>
      </c>
      <c r="Q18" s="93">
        <f t="shared" si="6"/>
        <v>17.13842552202118</v>
      </c>
    </row>
    <row r="19" spans="7:17" x14ac:dyDescent="0.2">
      <c r="G19" s="90">
        <f t="shared" si="9"/>
        <v>120</v>
      </c>
      <c r="H19" s="93">
        <f t="shared" si="0"/>
        <v>1.4306294478922446</v>
      </c>
      <c r="I19" s="93">
        <f t="shared" si="1"/>
        <v>1.2892080916549351</v>
      </c>
      <c r="J19" s="126">
        <f t="shared" si="2"/>
        <v>21.610946472063986</v>
      </c>
      <c r="K19" s="93"/>
      <c r="L19" s="93">
        <f t="shared" si="3"/>
        <v>15.490292358608137</v>
      </c>
      <c r="M19" s="93">
        <f t="shared" si="4"/>
        <v>-10</v>
      </c>
      <c r="N19" s="93">
        <f t="shared" si="7"/>
        <v>5.4902923586081371</v>
      </c>
      <c r="O19" s="94">
        <f t="shared" si="8"/>
        <v>0.92373177845348309</v>
      </c>
      <c r="P19" s="93">
        <f t="shared" si="5"/>
        <v>8.4484770733593822E-3</v>
      </c>
      <c r="Q19" s="93">
        <f t="shared" si="6"/>
        <v>12.165806985637513</v>
      </c>
    </row>
    <row r="20" spans="7:17" x14ac:dyDescent="0.2">
      <c r="G20" s="90">
        <f t="shared" si="9"/>
        <v>125</v>
      </c>
      <c r="H20" s="93">
        <f t="shared" si="0"/>
        <v>1.71928453936057</v>
      </c>
      <c r="I20" s="93">
        <f t="shared" si="1"/>
        <v>1.5778631831232606</v>
      </c>
      <c r="J20" s="126">
        <f t="shared" si="2"/>
        <v>26.320195018145313</v>
      </c>
      <c r="K20" s="93"/>
      <c r="L20" s="93">
        <f t="shared" si="3"/>
        <v>20.199540904689464</v>
      </c>
      <c r="M20" s="93">
        <f t="shared" si="4"/>
        <v>-12.5</v>
      </c>
      <c r="N20" s="93">
        <f t="shared" si="7"/>
        <v>7.6995409046894636</v>
      </c>
      <c r="O20" s="94">
        <f t="shared" si="8"/>
        <v>0.95721871313140183</v>
      </c>
      <c r="P20" s="93">
        <f t="shared" si="5"/>
        <v>5.1476734099823191E-3</v>
      </c>
      <c r="Q20" s="93">
        <f t="shared" si="6"/>
        <v>8.0432397030973739</v>
      </c>
    </row>
    <row r="21" spans="7:17" x14ac:dyDescent="0.2">
      <c r="G21" s="90">
        <f t="shared" si="9"/>
        <v>130</v>
      </c>
      <c r="H21" s="93">
        <f t="shared" si="0"/>
        <v>1.996616861697146</v>
      </c>
      <c r="I21" s="93">
        <f t="shared" si="1"/>
        <v>1.8551955054598366</v>
      </c>
      <c r="J21" s="126">
        <f t="shared" si="2"/>
        <v>31.160463242926724</v>
      </c>
      <c r="K21" s="93"/>
      <c r="L21" s="93">
        <f t="shared" si="3"/>
        <v>25.039809129470875</v>
      </c>
      <c r="M21" s="93">
        <f t="shared" si="4"/>
        <v>-15</v>
      </c>
      <c r="N21" s="93">
        <f t="shared" si="7"/>
        <v>10.039809129470875</v>
      </c>
      <c r="O21" s="94">
        <f t="shared" si="8"/>
        <v>0.97706659013874686</v>
      </c>
      <c r="P21" s="93">
        <f t="shared" si="5"/>
        <v>2.9566425527117342E-3</v>
      </c>
      <c r="Q21" s="93">
        <f t="shared" si="6"/>
        <v>4.9967259140828322</v>
      </c>
    </row>
    <row r="22" spans="7:17" x14ac:dyDescent="0.2">
      <c r="G22" s="90">
        <f t="shared" si="9"/>
        <v>135</v>
      </c>
      <c r="H22" s="93">
        <f t="shared" si="0"/>
        <v>2.2634812801059021</v>
      </c>
      <c r="I22" s="93">
        <f t="shared" si="1"/>
        <v>2.1220599238685924</v>
      </c>
      <c r="J22" s="126">
        <f t="shared" si="2"/>
        <v>36.076412366634386</v>
      </c>
      <c r="K22" s="93"/>
      <c r="L22" s="93">
        <f t="shared" si="3"/>
        <v>29.955758253178537</v>
      </c>
      <c r="M22" s="93">
        <f t="shared" si="4"/>
        <v>-17.5</v>
      </c>
      <c r="N22" s="93">
        <f t="shared" si="7"/>
        <v>12.455758253178537</v>
      </c>
      <c r="O22" s="94">
        <f t="shared" si="8"/>
        <v>0.98819698134835854</v>
      </c>
      <c r="P22" s="93">
        <f t="shared" si="5"/>
        <v>1.6126514977348233E-3</v>
      </c>
      <c r="Q22" s="93">
        <f t="shared" si="6"/>
        <v>2.939057354621716</v>
      </c>
    </row>
    <row r="23" spans="7:17" x14ac:dyDescent="0.2">
      <c r="G23" s="90">
        <f t="shared" si="9"/>
        <v>140</v>
      </c>
      <c r="H23" s="93">
        <f t="shared" si="0"/>
        <v>2.5206393581959516</v>
      </c>
      <c r="I23" s="93">
        <f t="shared" si="1"/>
        <v>2.379218001958642</v>
      </c>
      <c r="J23" s="126">
        <f t="shared" si="2"/>
        <v>41.033862853226992</v>
      </c>
      <c r="K23" s="93"/>
      <c r="L23" s="93">
        <f t="shared" si="3"/>
        <v>34.913208739771143</v>
      </c>
      <c r="M23" s="93">
        <f t="shared" si="4"/>
        <v>-20</v>
      </c>
      <c r="N23" s="93">
        <f t="shared" si="7"/>
        <v>14.913208739771143</v>
      </c>
      <c r="O23" s="94">
        <f t="shared" si="8"/>
        <v>0.99414290786802351</v>
      </c>
      <c r="P23" s="93">
        <f t="shared" si="5"/>
        <v>8.4061159636722503E-4</v>
      </c>
      <c r="Q23" s="93">
        <f t="shared" si="6"/>
        <v>1.6475987288797613</v>
      </c>
    </row>
    <row r="24" spans="7:17" x14ac:dyDescent="0.2">
      <c r="G24" s="90">
        <f t="shared" si="9"/>
        <v>145</v>
      </c>
      <c r="H24" s="93">
        <f t="shared" si="0"/>
        <v>2.7687724601893007</v>
      </c>
      <c r="I24" s="93">
        <f t="shared" si="1"/>
        <v>2.627351103951991</v>
      </c>
      <c r="J24" s="126">
        <f t="shared" si="2"/>
        <v>46.013055510067872</v>
      </c>
      <c r="K24" s="93"/>
      <c r="L24" s="93">
        <f t="shared" si="3"/>
        <v>39.892401396612023</v>
      </c>
      <c r="M24" s="93">
        <f t="shared" si="4"/>
        <v>-22.5</v>
      </c>
      <c r="N24" s="93">
        <f t="shared" si="7"/>
        <v>17.392401396612023</v>
      </c>
      <c r="O24" s="94">
        <f t="shared" si="8"/>
        <v>0.99718660416416893</v>
      </c>
      <c r="P24" s="93">
        <f t="shared" si="5"/>
        <v>4.210700952700327E-4</v>
      </c>
      <c r="Q24" s="93">
        <f t="shared" si="6"/>
        <v>0.8852998753052439</v>
      </c>
    </row>
    <row r="25" spans="7:17" x14ac:dyDescent="0.2">
      <c r="G25" s="90">
        <f t="shared" si="9"/>
        <v>150</v>
      </c>
      <c r="H25" s="93">
        <f t="shared" si="0"/>
        <v>3.0084926310155056</v>
      </c>
      <c r="I25" s="93">
        <f t="shared" si="1"/>
        <v>2.8670712747781959</v>
      </c>
      <c r="J25" s="126">
        <f t="shared" si="2"/>
        <v>51.003189971691825</v>
      </c>
      <c r="K25" s="93"/>
      <c r="L25" s="93">
        <f t="shared" si="3"/>
        <v>44.882535858235975</v>
      </c>
      <c r="M25" s="93">
        <f t="shared" si="4"/>
        <v>-25</v>
      </c>
      <c r="N25" s="93">
        <f t="shared" si="7"/>
        <v>19.882535858235975</v>
      </c>
      <c r="O25" s="94">
        <f t="shared" si="8"/>
        <v>0.99868726415477449</v>
      </c>
      <c r="P25" s="93">
        <f t="shared" si="5"/>
        <v>2.036564036398534E-4</v>
      </c>
      <c r="Q25" s="93">
        <f t="shared" si="6"/>
        <v>0.45822690818967021</v>
      </c>
    </row>
    <row r="28" spans="7:17" x14ac:dyDescent="0.2">
      <c r="G28" s="90" t="s">
        <v>228</v>
      </c>
      <c r="H28" s="90">
        <v>100</v>
      </c>
    </row>
    <row r="29" spans="7:17" x14ac:dyDescent="0.2">
      <c r="G29" s="90" t="s">
        <v>227</v>
      </c>
      <c r="H29" s="90">
        <v>90</v>
      </c>
    </row>
    <row r="31" spans="7:17" ht="24" customHeight="1" x14ac:dyDescent="0.2">
      <c r="G31" s="89" t="s">
        <v>226</v>
      </c>
      <c r="H31" s="89" t="s">
        <v>38</v>
      </c>
      <c r="I31" s="89" t="s">
        <v>39</v>
      </c>
      <c r="J31" s="89" t="s">
        <v>225</v>
      </c>
      <c r="L31" s="91" t="s">
        <v>223</v>
      </c>
      <c r="M31" s="91" t="s">
        <v>50</v>
      </c>
    </row>
    <row r="32" spans="7:17" x14ac:dyDescent="0.2">
      <c r="G32" s="96">
        <v>0.01</v>
      </c>
      <c r="H32" s="90">
        <f>(LN($H$28/$H$29)+($D$10+G32^2/2)*$D$7)/$E$8</f>
        <v>0.81589880572355555</v>
      </c>
      <c r="I32" s="93">
        <f>H32-$D$8*SQRT($D$7)</f>
        <v>0.67447744948624599</v>
      </c>
      <c r="J32" s="93">
        <f>$H$28*_xlfn.NORM.S.DIST(H32,1)-$H$29*EXP(-$D$10*$D$7)*_xlfn.NORM.S.DIST(I32,1)</f>
        <v>12.444083758727274</v>
      </c>
      <c r="K32" s="93"/>
      <c r="L32" s="93">
        <f t="shared" ref="L32:L65" si="10">J32-$D$9</f>
        <v>6.3234296452714247</v>
      </c>
      <c r="M32" s="93">
        <f t="shared" ref="M32:M65" si="11">G32*_xlfn.NORM.S.DIST(H32,FALSE)*($D$7)^(1/2)</f>
        <v>2.0222839457792979E-3</v>
      </c>
      <c r="N32" s="93"/>
      <c r="O32" s="94"/>
      <c r="P32" s="93"/>
    </row>
    <row r="33" spans="7:16" x14ac:dyDescent="0.2">
      <c r="G33" s="97">
        <f>G32+3%</f>
        <v>0.04</v>
      </c>
      <c r="H33" s="90">
        <f t="shared" ref="H33:H65" si="12">(LN($H$28/$H$29)+($D$10+G33^2/2)*$D$7)/$E$8</f>
        <v>0.81855045615300515</v>
      </c>
      <c r="I33" s="93">
        <f t="shared" ref="I33:I65" si="13">H33-$D$8*SQRT($D$7)</f>
        <v>0.67712909991569559</v>
      </c>
      <c r="J33" s="93">
        <f t="shared" ref="J33:J65" si="14">$H$28*_xlfn.NORM.S.DIST(H33,1)-$H$29*EXP(-$D$10*$D$7)*_xlfn.NORM.S.DIST(I33,1)</f>
        <v>12.444821584966405</v>
      </c>
      <c r="K33" s="93"/>
      <c r="L33" s="93">
        <f t="shared" si="10"/>
        <v>6.324167471510556</v>
      </c>
      <c r="M33" s="93">
        <f t="shared" si="11"/>
        <v>8.0716256530832722E-3</v>
      </c>
      <c r="N33" s="86"/>
      <c r="O33" s="94"/>
      <c r="P33" s="93"/>
    </row>
    <row r="34" spans="7:16" x14ac:dyDescent="0.2">
      <c r="G34" s="97">
        <f t="shared" ref="G34:G65" si="15">G33+3%</f>
        <v>7.0000000000000007E-2</v>
      </c>
      <c r="H34" s="90">
        <f t="shared" si="12"/>
        <v>0.82438408709779409</v>
      </c>
      <c r="I34" s="93">
        <f t="shared" si="13"/>
        <v>0.68296273086048453</v>
      </c>
      <c r="J34" s="93">
        <f t="shared" si="14"/>
        <v>12.446340501899869</v>
      </c>
      <c r="K34" s="93"/>
      <c r="L34" s="93">
        <f t="shared" si="10"/>
        <v>6.3256863884440193</v>
      </c>
      <c r="M34" s="93">
        <f t="shared" si="11"/>
        <v>1.4057816238974894E-2</v>
      </c>
      <c r="N34" s="86"/>
      <c r="O34" s="94"/>
      <c r="P34" s="93"/>
    </row>
    <row r="35" spans="7:16" x14ac:dyDescent="0.2">
      <c r="G35" s="97">
        <f t="shared" si="15"/>
        <v>0.1</v>
      </c>
      <c r="H35" s="90">
        <f t="shared" si="12"/>
        <v>0.83339969855792262</v>
      </c>
      <c r="I35" s="93">
        <f t="shared" si="13"/>
        <v>0.69197834232061306</v>
      </c>
      <c r="J35" s="93">
        <f t="shared" si="14"/>
        <v>12.448408142208635</v>
      </c>
      <c r="K35" s="93"/>
      <c r="L35" s="93">
        <f t="shared" si="10"/>
        <v>6.3277540287527856</v>
      </c>
      <c r="M35" s="93">
        <f t="shared" si="11"/>
        <v>1.9933077419615371E-2</v>
      </c>
      <c r="N35" s="86"/>
      <c r="O35" s="94"/>
      <c r="P35" s="93"/>
    </row>
    <row r="36" spans="7:16" x14ac:dyDescent="0.2">
      <c r="G36" s="97">
        <f t="shared" si="15"/>
        <v>0.13</v>
      </c>
      <c r="H36" s="90">
        <f t="shared" si="12"/>
        <v>0.84559729053339061</v>
      </c>
      <c r="I36" s="93">
        <f t="shared" si="13"/>
        <v>0.70417593429608105</v>
      </c>
      <c r="J36" s="93">
        <f t="shared" si="14"/>
        <v>12.450671739116942</v>
      </c>
      <c r="K36" s="93"/>
      <c r="L36" s="93">
        <f t="shared" si="10"/>
        <v>6.3300176256610925</v>
      </c>
      <c r="M36" s="93">
        <f t="shared" si="11"/>
        <v>2.5649009069237064E-2</v>
      </c>
      <c r="N36" s="86"/>
      <c r="O36" s="94"/>
      <c r="P36" s="93"/>
    </row>
    <row r="37" spans="7:16" x14ac:dyDescent="0.2">
      <c r="G37" s="97">
        <f t="shared" si="15"/>
        <v>0.16</v>
      </c>
      <c r="H37" s="90">
        <f t="shared" si="12"/>
        <v>0.86097686302419796</v>
      </c>
      <c r="I37" s="93">
        <f t="shared" si="13"/>
        <v>0.7195555067868884</v>
      </c>
      <c r="J37" s="93">
        <f t="shared" si="14"/>
        <v>12.452666422190887</v>
      </c>
      <c r="K37" s="93"/>
      <c r="L37" s="93">
        <f t="shared" si="10"/>
        <v>6.3320123087350382</v>
      </c>
      <c r="M37" s="93">
        <f t="shared" si="11"/>
        <v>3.1156444579351628E-2</v>
      </c>
      <c r="N37" s="86"/>
      <c r="O37" s="94"/>
      <c r="P37" s="93"/>
    </row>
    <row r="38" spans="7:16" x14ac:dyDescent="0.2">
      <c r="G38" s="97">
        <f t="shared" si="15"/>
        <v>0.19</v>
      </c>
      <c r="H38" s="90">
        <f t="shared" si="12"/>
        <v>0.87953841603034477</v>
      </c>
      <c r="I38" s="93">
        <f t="shared" si="13"/>
        <v>0.73811705979303521</v>
      </c>
      <c r="J38" s="93">
        <f t="shared" si="14"/>
        <v>12.453826658444058</v>
      </c>
      <c r="K38" s="93"/>
      <c r="L38" s="93">
        <f t="shared" si="10"/>
        <v>6.3331725449882086</v>
      </c>
      <c r="M38" s="93">
        <f t="shared" si="11"/>
        <v>3.6405433520332188E-2</v>
      </c>
      <c r="N38" s="86"/>
      <c r="O38" s="94"/>
      <c r="P38" s="93"/>
    </row>
    <row r="39" spans="7:16" x14ac:dyDescent="0.2">
      <c r="G39" s="98">
        <f>G38+1%</f>
        <v>0.2</v>
      </c>
      <c r="H39" s="90">
        <f t="shared" si="12"/>
        <v>0.88643270714691369</v>
      </c>
      <c r="I39" s="93">
        <f t="shared" si="13"/>
        <v>0.74501135090960413</v>
      </c>
      <c r="J39" s="93">
        <f t="shared" si="14"/>
        <v>12.45391751819416</v>
      </c>
      <c r="K39" s="93"/>
      <c r="L39" s="93">
        <f t="shared" si="10"/>
        <v>6.333263404738311</v>
      </c>
      <c r="M39" s="93">
        <f t="shared" si="11"/>
        <v>3.8088933130152498E-2</v>
      </c>
      <c r="N39" s="86"/>
      <c r="O39" s="94"/>
      <c r="P39" s="93"/>
    </row>
    <row r="40" spans="7:16" x14ac:dyDescent="0.2">
      <c r="G40" s="97">
        <f t="shared" si="15"/>
        <v>0.23</v>
      </c>
      <c r="H40" s="90">
        <f t="shared" si="12"/>
        <v>0.90923690084017983</v>
      </c>
      <c r="I40" s="93">
        <f t="shared" si="13"/>
        <v>0.76781554460287027</v>
      </c>
      <c r="J40" s="93">
        <f t="shared" si="14"/>
        <v>12.452939469653302</v>
      </c>
      <c r="K40" s="93"/>
      <c r="L40" s="93">
        <f t="shared" si="10"/>
        <v>6.3322853561974526</v>
      </c>
      <c r="M40" s="93">
        <f t="shared" si="11"/>
        <v>4.2914566532521445E-2</v>
      </c>
      <c r="N40" s="86"/>
      <c r="O40" s="94"/>
      <c r="P40" s="93"/>
    </row>
    <row r="41" spans="7:16" x14ac:dyDescent="0.2">
      <c r="G41" s="97">
        <f t="shared" si="15"/>
        <v>0.26</v>
      </c>
      <c r="H41" s="90">
        <f t="shared" si="12"/>
        <v>0.93522307504878543</v>
      </c>
      <c r="I41" s="93">
        <f t="shared" si="13"/>
        <v>0.79380171881147588</v>
      </c>
      <c r="J41" s="93">
        <f t="shared" si="14"/>
        <v>12.449505102616286</v>
      </c>
      <c r="K41" s="93"/>
      <c r="L41" s="93">
        <f t="shared" si="10"/>
        <v>6.3288509891604363</v>
      </c>
      <c r="M41" s="93">
        <f t="shared" si="11"/>
        <v>4.7363335061960291E-2</v>
      </c>
      <c r="N41" s="86"/>
      <c r="O41" s="94"/>
      <c r="P41" s="93"/>
    </row>
    <row r="42" spans="7:16" x14ac:dyDescent="0.2">
      <c r="G42" s="97">
        <f t="shared" si="15"/>
        <v>0.29000000000000004</v>
      </c>
      <c r="H42" s="90">
        <f t="shared" si="12"/>
        <v>0.96439122977273062</v>
      </c>
      <c r="I42" s="93">
        <f t="shared" si="13"/>
        <v>0.82296987353542106</v>
      </c>
      <c r="J42" s="93">
        <f t="shared" si="14"/>
        <v>12.442839041875374</v>
      </c>
      <c r="K42" s="93"/>
      <c r="L42" s="93">
        <f t="shared" si="10"/>
        <v>6.3221849284195244</v>
      </c>
      <c r="M42" s="93">
        <f t="shared" si="11"/>
        <v>5.1384860047365269E-2</v>
      </c>
      <c r="N42" s="86"/>
      <c r="O42" s="94"/>
      <c r="P42" s="93"/>
    </row>
    <row r="43" spans="7:16" x14ac:dyDescent="0.2">
      <c r="G43" s="97">
        <f t="shared" si="15"/>
        <v>0.32000000000000006</v>
      </c>
      <c r="H43" s="90">
        <f t="shared" si="12"/>
        <v>0.99674136501201505</v>
      </c>
      <c r="I43" s="93">
        <f t="shared" si="13"/>
        <v>0.85532000877470549</v>
      </c>
      <c r="J43" s="93">
        <f t="shared" si="14"/>
        <v>12.432153880829631</v>
      </c>
      <c r="K43" s="93"/>
      <c r="L43" s="93">
        <f t="shared" si="10"/>
        <v>6.3114997673737818</v>
      </c>
      <c r="M43" s="93">
        <f t="shared" si="11"/>
        <v>5.4930140104174748E-2</v>
      </c>
      <c r="N43" s="86"/>
      <c r="O43" s="94"/>
      <c r="P43" s="93"/>
    </row>
    <row r="44" spans="7:16" x14ac:dyDescent="0.2">
      <c r="G44" s="97">
        <f t="shared" si="15"/>
        <v>0.35000000000000009</v>
      </c>
      <c r="H44" s="90">
        <f t="shared" si="12"/>
        <v>1.0322734807666392</v>
      </c>
      <c r="I44" s="93">
        <f t="shared" si="13"/>
        <v>0.8908521245293296</v>
      </c>
      <c r="J44" s="93">
        <f t="shared" si="14"/>
        <v>12.416679406781185</v>
      </c>
      <c r="K44" s="93"/>
      <c r="L44" s="93">
        <f t="shared" si="10"/>
        <v>6.2960252933253358</v>
      </c>
      <c r="M44" s="93">
        <f t="shared" si="11"/>
        <v>5.7952676868869728E-2</v>
      </c>
      <c r="N44" s="86"/>
      <c r="O44" s="94"/>
      <c r="P44" s="93"/>
    </row>
    <row r="45" spans="7:16" x14ac:dyDescent="0.2">
      <c r="G45" s="97">
        <f t="shared" si="15"/>
        <v>0.38000000000000012</v>
      </c>
      <c r="H45" s="90">
        <f t="shared" si="12"/>
        <v>1.0709875770366026</v>
      </c>
      <c r="I45" s="93">
        <f t="shared" si="13"/>
        <v>0.92956622079929307</v>
      </c>
      <c r="J45" s="93">
        <f t="shared" si="14"/>
        <v>12.39569438363327</v>
      </c>
      <c r="K45" s="93"/>
      <c r="L45" s="93">
        <f t="shared" si="10"/>
        <v>6.2750402701774206</v>
      </c>
      <c r="M45" s="93">
        <f t="shared" si="11"/>
        <v>6.0409835685130392E-2</v>
      </c>
      <c r="N45" s="86"/>
      <c r="O45" s="94"/>
      <c r="P45" s="93"/>
    </row>
    <row r="46" spans="7:16" x14ac:dyDescent="0.2">
      <c r="G46" s="97">
        <f t="shared" si="15"/>
        <v>0.41000000000000014</v>
      </c>
      <c r="H46" s="90">
        <f t="shared" si="12"/>
        <v>1.1128836538219056</v>
      </c>
      <c r="I46" s="93">
        <f t="shared" si="13"/>
        <v>0.97146229758459601</v>
      </c>
      <c r="J46" s="93">
        <f t="shared" si="14"/>
        <v>12.36856009058161</v>
      </c>
      <c r="K46" s="93"/>
      <c r="L46" s="93">
        <f t="shared" si="10"/>
        <v>6.247905977125761</v>
      </c>
      <c r="M46" s="93">
        <f t="shared" si="11"/>
        <v>6.2264411758462528E-2</v>
      </c>
      <c r="N46" s="86"/>
      <c r="O46" s="94"/>
      <c r="P46" s="93"/>
    </row>
    <row r="47" spans="7:16" x14ac:dyDescent="0.2">
      <c r="G47" s="97">
        <f t="shared" si="15"/>
        <v>0.44000000000000017</v>
      </c>
      <c r="H47" s="90">
        <f t="shared" si="12"/>
        <v>1.1579617111225482</v>
      </c>
      <c r="I47" s="93">
        <f t="shared" si="13"/>
        <v>1.0165403548852388</v>
      </c>
      <c r="J47" s="93">
        <f t="shared" si="14"/>
        <v>12.334754504803939</v>
      </c>
      <c r="K47" s="93"/>
      <c r="L47" s="93">
        <f t="shared" si="10"/>
        <v>6.2141003913480901</v>
      </c>
      <c r="M47" s="93">
        <f t="shared" si="11"/>
        <v>6.3486351209627978E-2</v>
      </c>
      <c r="N47" s="86"/>
      <c r="O47" s="94"/>
      <c r="P47" s="93"/>
    </row>
    <row r="48" spans="7:16" x14ac:dyDescent="0.2">
      <c r="G48" s="97">
        <f t="shared" si="15"/>
        <v>0.4700000000000002</v>
      </c>
      <c r="H48" s="90">
        <f t="shared" si="12"/>
        <v>1.2062217489385301</v>
      </c>
      <c r="I48" s="93">
        <f t="shared" si="13"/>
        <v>1.0648003927012206</v>
      </c>
      <c r="J48" s="93">
        <f t="shared" si="14"/>
        <v>12.293905695630457</v>
      </c>
      <c r="K48" s="93"/>
      <c r="L48" s="93">
        <f t="shared" si="10"/>
        <v>6.1732515821746077</v>
      </c>
      <c r="M48" s="93">
        <f t="shared" si="11"/>
        <v>6.4054553416816096E-2</v>
      </c>
      <c r="N48" s="86"/>
      <c r="O48" s="94"/>
      <c r="P48" s="93"/>
    </row>
    <row r="49" spans="7:16" x14ac:dyDescent="0.2">
      <c r="G49" s="97">
        <f t="shared" si="15"/>
        <v>0.50000000000000022</v>
      </c>
      <c r="H49" s="90">
        <f t="shared" si="12"/>
        <v>1.2576637672698514</v>
      </c>
      <c r="I49" s="93">
        <f t="shared" si="13"/>
        <v>1.116242411032542</v>
      </c>
      <c r="J49" s="93">
        <f t="shared" si="14"/>
        <v>12.245822696992334</v>
      </c>
      <c r="K49" s="93"/>
      <c r="L49" s="93">
        <f t="shared" si="10"/>
        <v>6.1251685835364853</v>
      </c>
      <c r="M49" s="93">
        <f t="shared" si="11"/>
        <v>6.395865757172535E-2</v>
      </c>
      <c r="N49" s="86"/>
      <c r="O49" s="94"/>
      <c r="P49" s="93"/>
    </row>
    <row r="50" spans="7:16" x14ac:dyDescent="0.2">
      <c r="G50" s="97">
        <f t="shared" si="15"/>
        <v>0.53000000000000025</v>
      </c>
      <c r="H50" s="90">
        <f t="shared" si="12"/>
        <v>1.3122877661165122</v>
      </c>
      <c r="I50" s="93">
        <f t="shared" si="13"/>
        <v>1.1708664098792028</v>
      </c>
      <c r="J50" s="93">
        <f t="shared" si="14"/>
        <v>12.190521881708335</v>
      </c>
      <c r="K50" s="93"/>
      <c r="L50" s="93">
        <f t="shared" si="10"/>
        <v>6.069867768252486</v>
      </c>
      <c r="M50" s="93">
        <f t="shared" si="11"/>
        <v>6.320069465771766E-2</v>
      </c>
      <c r="N50" s="86"/>
      <c r="O50" s="94"/>
      <c r="P50" s="93"/>
    </row>
    <row r="51" spans="7:16" x14ac:dyDescent="0.2">
      <c r="G51" s="97">
        <f t="shared" si="15"/>
        <v>0.56000000000000028</v>
      </c>
      <c r="H51" s="90">
        <f t="shared" si="12"/>
        <v>1.3700937454785127</v>
      </c>
      <c r="I51" s="93">
        <f t="shared" si="13"/>
        <v>1.2286723892412033</v>
      </c>
      <c r="J51" s="93">
        <f t="shared" si="14"/>
        <v>12.128246718907462</v>
      </c>
      <c r="K51" s="93"/>
      <c r="L51" s="93">
        <f t="shared" si="10"/>
        <v>6.0075926054516131</v>
      </c>
      <c r="M51" s="93">
        <f t="shared" si="11"/>
        <v>6.1796468853906002E-2</v>
      </c>
      <c r="N51" s="86"/>
      <c r="O51" s="94"/>
      <c r="P51" s="93"/>
    </row>
    <row r="52" spans="7:16" x14ac:dyDescent="0.2">
      <c r="G52" s="97">
        <f t="shared" si="15"/>
        <v>0.5900000000000003</v>
      </c>
      <c r="H52" s="90">
        <f t="shared" si="12"/>
        <v>1.4310817053558522</v>
      </c>
      <c r="I52" s="93">
        <f t="shared" si="13"/>
        <v>1.2896603491185428</v>
      </c>
      <c r="J52" s="93">
        <f t="shared" si="14"/>
        <v>12.059478800371764</v>
      </c>
      <c r="K52" s="93"/>
      <c r="L52" s="93">
        <f t="shared" si="10"/>
        <v>5.9388246869159147</v>
      </c>
      <c r="M52" s="93">
        <f t="shared" si="11"/>
        <v>5.9776522869333062E-2</v>
      </c>
      <c r="N52" s="86"/>
      <c r="O52" s="94"/>
      <c r="P52" s="93"/>
    </row>
    <row r="53" spans="7:16" x14ac:dyDescent="0.2">
      <c r="G53" s="97">
        <f t="shared" si="15"/>
        <v>0.62000000000000033</v>
      </c>
      <c r="H53" s="90">
        <f t="shared" si="12"/>
        <v>1.4952516457485316</v>
      </c>
      <c r="I53" s="93">
        <f t="shared" si="13"/>
        <v>1.3538302895112222</v>
      </c>
      <c r="J53" s="93">
        <f t="shared" si="14"/>
        <v>11.984938215340009</v>
      </c>
      <c r="K53" s="93"/>
      <c r="L53" s="93">
        <f t="shared" si="10"/>
        <v>5.8642841018841594</v>
      </c>
      <c r="M53" s="93">
        <f t="shared" si="11"/>
        <v>5.7186543230356421E-2</v>
      </c>
      <c r="N53" s="86"/>
      <c r="O53" s="94"/>
      <c r="P53" s="93"/>
    </row>
    <row r="54" spans="7:16" x14ac:dyDescent="0.2">
      <c r="G54" s="97">
        <f t="shared" si="15"/>
        <v>0.65000000000000036</v>
      </c>
      <c r="H54" s="90">
        <f t="shared" si="12"/>
        <v>1.5626035666565505</v>
      </c>
      <c r="I54" s="93">
        <f t="shared" si="13"/>
        <v>1.4211822104192411</v>
      </c>
      <c r="J54" s="93">
        <f t="shared" si="14"/>
        <v>11.905571768450443</v>
      </c>
      <c r="K54" s="93"/>
      <c r="L54" s="93">
        <f t="shared" si="10"/>
        <v>5.7849176549945938</v>
      </c>
      <c r="M54" s="93">
        <f t="shared" si="11"/>
        <v>5.4087077069323197E-2</v>
      </c>
      <c r="N54" s="86"/>
      <c r="O54" s="94"/>
      <c r="P54" s="93"/>
    </row>
    <row r="55" spans="7:16" x14ac:dyDescent="0.2">
      <c r="G55" s="97">
        <f t="shared" si="15"/>
        <v>0.68000000000000038</v>
      </c>
      <c r="H55" s="90">
        <f t="shared" si="12"/>
        <v>1.6331374680799087</v>
      </c>
      <c r="I55" s="93">
        <f t="shared" si="13"/>
        <v>1.4917161118425992</v>
      </c>
      <c r="J55" s="93">
        <f t="shared" si="14"/>
        <v>11.822528185495656</v>
      </c>
      <c r="K55" s="93"/>
      <c r="L55" s="93">
        <f t="shared" si="10"/>
        <v>5.7018740720398071</v>
      </c>
      <c r="M55" s="93">
        <f t="shared" si="11"/>
        <v>5.0552463583737821E-2</v>
      </c>
      <c r="N55" s="86"/>
      <c r="O55" s="94"/>
      <c r="P55" s="93"/>
    </row>
    <row r="56" spans="7:16" x14ac:dyDescent="0.2">
      <c r="G56" s="97">
        <f t="shared" si="15"/>
        <v>0.71000000000000041</v>
      </c>
      <c r="H56" s="90">
        <f t="shared" si="12"/>
        <v>1.7068533500186065</v>
      </c>
      <c r="I56" s="93">
        <f t="shared" si="13"/>
        <v>1.565431993781297</v>
      </c>
      <c r="J56" s="93">
        <f t="shared" si="14"/>
        <v>11.737120323206639</v>
      </c>
      <c r="K56" s="93"/>
      <c r="L56" s="93">
        <f t="shared" si="10"/>
        <v>5.61646620975079</v>
      </c>
      <c r="M56" s="93">
        <f t="shared" si="11"/>
        <v>4.6668931612446035E-2</v>
      </c>
      <c r="N56" s="86"/>
      <c r="O56" s="94"/>
      <c r="P56" s="93"/>
    </row>
    <row r="57" spans="7:16" x14ac:dyDescent="0.2">
      <c r="G57" s="97">
        <f t="shared" si="15"/>
        <v>0.74000000000000044</v>
      </c>
      <c r="H57" s="90">
        <f t="shared" si="12"/>
        <v>1.7837512124726436</v>
      </c>
      <c r="I57" s="93">
        <f t="shared" si="13"/>
        <v>1.6423298562353341</v>
      </c>
      <c r="J57" s="93">
        <f t="shared" si="14"/>
        <v>11.650775445743605</v>
      </c>
      <c r="K57" s="93"/>
      <c r="L57" s="93">
        <f t="shared" si="10"/>
        <v>5.5301213322877558</v>
      </c>
      <c r="M57" s="93">
        <f t="shared" si="11"/>
        <v>4.2531878142843718E-2</v>
      </c>
      <c r="N57" s="86"/>
      <c r="O57" s="94"/>
      <c r="P57" s="93"/>
    </row>
    <row r="58" spans="7:16" x14ac:dyDescent="0.2">
      <c r="G58" s="97">
        <f t="shared" si="15"/>
        <v>0.77000000000000046</v>
      </c>
      <c r="H58" s="90">
        <f t="shared" si="12"/>
        <v>1.8638310554420203</v>
      </c>
      <c r="I58" s="93">
        <f t="shared" si="13"/>
        <v>1.7224096992047109</v>
      </c>
      <c r="J58" s="93">
        <f t="shared" si="14"/>
        <v>11.564975769029274</v>
      </c>
      <c r="K58" s="93"/>
      <c r="L58" s="93">
        <f t="shared" si="10"/>
        <v>5.4443216555734253</v>
      </c>
      <c r="M58" s="93">
        <f t="shared" si="11"/>
        <v>3.8242416904214233E-2</v>
      </c>
      <c r="N58" s="86"/>
      <c r="O58" s="94"/>
      <c r="P58" s="93"/>
    </row>
    <row r="59" spans="7:16" x14ac:dyDescent="0.2">
      <c r="G59" s="97">
        <f t="shared" si="15"/>
        <v>0.80000000000000049</v>
      </c>
      <c r="H59" s="90">
        <f t="shared" si="12"/>
        <v>1.9470928789267361</v>
      </c>
      <c r="I59" s="93">
        <f t="shared" si="13"/>
        <v>1.8056715226894267</v>
      </c>
      <c r="J59" s="93">
        <f t="shared" si="14"/>
        <v>11.481192587774217</v>
      </c>
      <c r="K59" s="93"/>
      <c r="L59" s="93">
        <f t="shared" si="10"/>
        <v>5.3605384743183677</v>
      </c>
      <c r="M59" s="93">
        <f t="shared" si="11"/>
        <v>3.3903364749203309E-2</v>
      </c>
      <c r="N59" s="86"/>
      <c r="O59" s="94"/>
      <c r="P59" s="93"/>
    </row>
    <row r="60" spans="7:16" x14ac:dyDescent="0.2">
      <c r="G60" s="97">
        <f t="shared" si="15"/>
        <v>0.83000000000000052</v>
      </c>
      <c r="H60" s="90">
        <f t="shared" si="12"/>
        <v>2.0335366829267918</v>
      </c>
      <c r="I60" s="93">
        <f t="shared" si="13"/>
        <v>1.8921153266894823</v>
      </c>
      <c r="J60" s="93">
        <f t="shared" si="14"/>
        <v>11.400818247858496</v>
      </c>
      <c r="K60" s="93"/>
      <c r="L60" s="93">
        <f t="shared" si="10"/>
        <v>5.2801641344026464</v>
      </c>
      <c r="M60" s="93">
        <f t="shared" si="11"/>
        <v>2.96149072214625E-2</v>
      </c>
      <c r="N60" s="86"/>
      <c r="O60" s="94"/>
      <c r="P60" s="93"/>
    </row>
    <row r="61" spans="7:16" x14ac:dyDescent="0.2">
      <c r="G61" s="97">
        <f t="shared" si="15"/>
        <v>0.86000000000000054</v>
      </c>
      <c r="H61" s="90">
        <f t="shared" si="12"/>
        <v>2.1231624674421865</v>
      </c>
      <c r="I61" s="93">
        <f t="shared" si="13"/>
        <v>1.9817411112048771</v>
      </c>
      <c r="J61" s="93">
        <f t="shared" si="14"/>
        <v>11.32510085978987</v>
      </c>
      <c r="K61" s="93"/>
      <c r="L61" s="93">
        <f t="shared" si="10"/>
        <v>5.2044467463340212</v>
      </c>
      <c r="M61" s="93">
        <f t="shared" si="11"/>
        <v>2.5470243117250109E-2</v>
      </c>
      <c r="N61" s="86"/>
      <c r="O61" s="94"/>
      <c r="P61" s="93"/>
    </row>
    <row r="62" spans="7:16" x14ac:dyDescent="0.2">
      <c r="G62" s="97">
        <f t="shared" si="15"/>
        <v>0.89000000000000057</v>
      </c>
      <c r="H62" s="90">
        <f t="shared" si="12"/>
        <v>2.2159702324729214</v>
      </c>
      <c r="I62" s="93">
        <f t="shared" si="13"/>
        <v>2.0745488762356117</v>
      </c>
      <c r="J62" s="93">
        <f t="shared" si="14"/>
        <v>11.255086833649372</v>
      </c>
      <c r="K62" s="93"/>
      <c r="L62" s="93">
        <f t="shared" si="10"/>
        <v>5.1344327201935229</v>
      </c>
      <c r="M62" s="93">
        <f t="shared" si="11"/>
        <v>2.1551540601828206E-2</v>
      </c>
      <c r="N62" s="86"/>
      <c r="O62" s="94"/>
      <c r="P62" s="93"/>
    </row>
    <row r="63" spans="7:16" x14ac:dyDescent="0.2">
      <c r="G63" s="97">
        <f t="shared" si="15"/>
        <v>0.9200000000000006</v>
      </c>
      <c r="H63" s="90">
        <f t="shared" si="12"/>
        <v>2.311959978018995</v>
      </c>
      <c r="I63" s="93">
        <f t="shared" si="13"/>
        <v>2.1705386217816853</v>
      </c>
      <c r="J63" s="93">
        <f t="shared" si="14"/>
        <v>11.191575960074459</v>
      </c>
      <c r="K63" s="93"/>
      <c r="L63" s="93">
        <f t="shared" si="10"/>
        <v>5.0709218466186101</v>
      </c>
      <c r="M63" s="93">
        <f t="shared" si="11"/>
        <v>1.7926536060710058E-2</v>
      </c>
      <c r="N63" s="86"/>
      <c r="O63" s="94"/>
      <c r="P63" s="93"/>
    </row>
    <row r="64" spans="7:16" x14ac:dyDescent="0.2">
      <c r="G64" s="97">
        <f t="shared" si="15"/>
        <v>0.95000000000000062</v>
      </c>
      <c r="H64" s="90">
        <f t="shared" si="12"/>
        <v>2.4111317040804083</v>
      </c>
      <c r="I64" s="93">
        <f t="shared" si="13"/>
        <v>2.2697103478430987</v>
      </c>
      <c r="J64" s="93">
        <f t="shared" si="14"/>
        <v>11.135092839334519</v>
      </c>
      <c r="K64" s="93"/>
      <c r="L64" s="93">
        <f t="shared" si="10"/>
        <v>5.0144387258786693</v>
      </c>
      <c r="M64" s="93">
        <f t="shared" si="11"/>
        <v>1.464606668720096E-2</v>
      </c>
      <c r="N64" s="86"/>
      <c r="O64" s="94"/>
      <c r="P64" s="93"/>
    </row>
    <row r="65" spans="7:17" x14ac:dyDescent="0.2">
      <c r="G65" s="97">
        <f t="shared" si="15"/>
        <v>0.98000000000000065</v>
      </c>
      <c r="H65" s="90">
        <f t="shared" si="12"/>
        <v>2.5134854106571614</v>
      </c>
      <c r="I65" s="93">
        <f t="shared" si="13"/>
        <v>2.3720640544198517</v>
      </c>
      <c r="J65" s="93">
        <f t="shared" si="14"/>
        <v>11.085877028798194</v>
      </c>
      <c r="K65" s="93"/>
      <c r="L65" s="93">
        <f t="shared" si="10"/>
        <v>4.9652229153423448</v>
      </c>
      <c r="M65" s="93">
        <f t="shared" si="11"/>
        <v>1.1742749583240047E-2</v>
      </c>
      <c r="N65" s="86"/>
      <c r="O65" s="94"/>
      <c r="P65" s="93"/>
    </row>
    <row r="66" spans="7:17" x14ac:dyDescent="0.2">
      <c r="G66" s="97"/>
      <c r="I66" s="93"/>
      <c r="J66" s="93"/>
      <c r="K66" s="93"/>
      <c r="M66" s="93"/>
      <c r="N66" s="93"/>
      <c r="O66" s="94"/>
      <c r="P66" s="93"/>
      <c r="Q66" s="9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V53"/>
  <sheetViews>
    <sheetView showGridLines="0" zoomScale="80" zoomScaleNormal="80" workbookViewId="0">
      <selection activeCell="K34" sqref="K34"/>
    </sheetView>
  </sheetViews>
  <sheetFormatPr defaultRowHeight="13.2" x14ac:dyDescent="0.25"/>
  <cols>
    <col min="1" max="1" width="13.77734375" style="23" customWidth="1"/>
    <col min="2" max="3" width="9.21875" style="23" customWidth="1"/>
    <col min="4" max="5" width="8.77734375" style="23"/>
    <col min="6" max="6" width="7.77734375" style="23" customWidth="1"/>
    <col min="7" max="7" width="8.77734375" style="23"/>
    <col min="8" max="8" width="11.77734375" style="23" customWidth="1"/>
    <col min="9" max="9" width="8.44140625" style="23" bestFit="1" customWidth="1"/>
    <col min="10" max="10" width="12" style="23" bestFit="1" customWidth="1"/>
    <col min="11" max="11" width="12.5546875" style="23" bestFit="1" customWidth="1"/>
    <col min="12" max="12" width="12" style="23" bestFit="1" customWidth="1"/>
    <col min="13" max="16" width="8.77734375" style="23"/>
    <col min="17" max="17" width="10.21875" style="23" customWidth="1"/>
    <col min="18" max="256" width="8.77734375" style="23"/>
    <col min="257" max="257" width="13.77734375" style="23" customWidth="1"/>
    <col min="258" max="259" width="9.21875" style="23" customWidth="1"/>
    <col min="260" max="261" width="8.77734375" style="23"/>
    <col min="262" max="262" width="7.77734375" style="23" customWidth="1"/>
    <col min="263" max="263" width="8.77734375" style="23"/>
    <col min="264" max="264" width="11.77734375" style="23" customWidth="1"/>
    <col min="265" max="265" width="8.44140625" style="23" bestFit="1" customWidth="1"/>
    <col min="266" max="266" width="12" style="23" bestFit="1" customWidth="1"/>
    <col min="267" max="267" width="12.5546875" style="23" bestFit="1" customWidth="1"/>
    <col min="268" max="268" width="12" style="23" bestFit="1" customWidth="1"/>
    <col min="269" max="272" width="8.77734375" style="23"/>
    <col min="273" max="273" width="10.21875" style="23" customWidth="1"/>
    <col min="274" max="512" width="8.77734375" style="23"/>
    <col min="513" max="513" width="13.77734375" style="23" customWidth="1"/>
    <col min="514" max="515" width="9.21875" style="23" customWidth="1"/>
    <col min="516" max="517" width="8.77734375" style="23"/>
    <col min="518" max="518" width="7.77734375" style="23" customWidth="1"/>
    <col min="519" max="519" width="8.77734375" style="23"/>
    <col min="520" max="520" width="11.77734375" style="23" customWidth="1"/>
    <col min="521" max="521" width="8.44140625" style="23" bestFit="1" customWidth="1"/>
    <col min="522" max="522" width="12" style="23" bestFit="1" customWidth="1"/>
    <col min="523" max="523" width="12.5546875" style="23" bestFit="1" customWidth="1"/>
    <col min="524" max="524" width="12" style="23" bestFit="1" customWidth="1"/>
    <col min="525" max="528" width="8.77734375" style="23"/>
    <col min="529" max="529" width="10.21875" style="23" customWidth="1"/>
    <col min="530" max="768" width="8.77734375" style="23"/>
    <col min="769" max="769" width="13.77734375" style="23" customWidth="1"/>
    <col min="770" max="771" width="9.21875" style="23" customWidth="1"/>
    <col min="772" max="773" width="8.77734375" style="23"/>
    <col min="774" max="774" width="7.77734375" style="23" customWidth="1"/>
    <col min="775" max="775" width="8.77734375" style="23"/>
    <col min="776" max="776" width="11.77734375" style="23" customWidth="1"/>
    <col min="777" max="777" width="8.44140625" style="23" bestFit="1" customWidth="1"/>
    <col min="778" max="778" width="12" style="23" bestFit="1" customWidth="1"/>
    <col min="779" max="779" width="12.5546875" style="23" bestFit="1" customWidth="1"/>
    <col min="780" max="780" width="12" style="23" bestFit="1" customWidth="1"/>
    <col min="781" max="784" width="8.77734375" style="23"/>
    <col min="785" max="785" width="10.21875" style="23" customWidth="1"/>
    <col min="786" max="1024" width="8.77734375" style="23"/>
    <col min="1025" max="1025" width="13.77734375" style="23" customWidth="1"/>
    <col min="1026" max="1027" width="9.21875" style="23" customWidth="1"/>
    <col min="1028" max="1029" width="8.77734375" style="23"/>
    <col min="1030" max="1030" width="7.77734375" style="23" customWidth="1"/>
    <col min="1031" max="1031" width="8.77734375" style="23"/>
    <col min="1032" max="1032" width="11.77734375" style="23" customWidth="1"/>
    <col min="1033" max="1033" width="8.44140625" style="23" bestFit="1" customWidth="1"/>
    <col min="1034" max="1034" width="12" style="23" bestFit="1" customWidth="1"/>
    <col min="1035" max="1035" width="12.5546875" style="23" bestFit="1" customWidth="1"/>
    <col min="1036" max="1036" width="12" style="23" bestFit="1" customWidth="1"/>
    <col min="1037" max="1040" width="8.77734375" style="23"/>
    <col min="1041" max="1041" width="10.21875" style="23" customWidth="1"/>
    <col min="1042" max="1280" width="8.77734375" style="23"/>
    <col min="1281" max="1281" width="13.77734375" style="23" customWidth="1"/>
    <col min="1282" max="1283" width="9.21875" style="23" customWidth="1"/>
    <col min="1284" max="1285" width="8.77734375" style="23"/>
    <col min="1286" max="1286" width="7.77734375" style="23" customWidth="1"/>
    <col min="1287" max="1287" width="8.77734375" style="23"/>
    <col min="1288" max="1288" width="11.77734375" style="23" customWidth="1"/>
    <col min="1289" max="1289" width="8.44140625" style="23" bestFit="1" customWidth="1"/>
    <col min="1290" max="1290" width="12" style="23" bestFit="1" customWidth="1"/>
    <col min="1291" max="1291" width="12.5546875" style="23" bestFit="1" customWidth="1"/>
    <col min="1292" max="1292" width="12" style="23" bestFit="1" customWidth="1"/>
    <col min="1293" max="1296" width="8.77734375" style="23"/>
    <col min="1297" max="1297" width="10.21875" style="23" customWidth="1"/>
    <col min="1298" max="1536" width="8.77734375" style="23"/>
    <col min="1537" max="1537" width="13.77734375" style="23" customWidth="1"/>
    <col min="1538" max="1539" width="9.21875" style="23" customWidth="1"/>
    <col min="1540" max="1541" width="8.77734375" style="23"/>
    <col min="1542" max="1542" width="7.77734375" style="23" customWidth="1"/>
    <col min="1543" max="1543" width="8.77734375" style="23"/>
    <col min="1544" max="1544" width="11.77734375" style="23" customWidth="1"/>
    <col min="1545" max="1545" width="8.44140625" style="23" bestFit="1" customWidth="1"/>
    <col min="1546" max="1546" width="12" style="23" bestFit="1" customWidth="1"/>
    <col min="1547" max="1547" width="12.5546875" style="23" bestFit="1" customWidth="1"/>
    <col min="1548" max="1548" width="12" style="23" bestFit="1" customWidth="1"/>
    <col min="1549" max="1552" width="8.77734375" style="23"/>
    <col min="1553" max="1553" width="10.21875" style="23" customWidth="1"/>
    <col min="1554" max="1792" width="8.77734375" style="23"/>
    <col min="1793" max="1793" width="13.77734375" style="23" customWidth="1"/>
    <col min="1794" max="1795" width="9.21875" style="23" customWidth="1"/>
    <col min="1796" max="1797" width="8.77734375" style="23"/>
    <col min="1798" max="1798" width="7.77734375" style="23" customWidth="1"/>
    <col min="1799" max="1799" width="8.77734375" style="23"/>
    <col min="1800" max="1800" width="11.77734375" style="23" customWidth="1"/>
    <col min="1801" max="1801" width="8.44140625" style="23" bestFit="1" customWidth="1"/>
    <col min="1802" max="1802" width="12" style="23" bestFit="1" customWidth="1"/>
    <col min="1803" max="1803" width="12.5546875" style="23" bestFit="1" customWidth="1"/>
    <col min="1804" max="1804" width="12" style="23" bestFit="1" customWidth="1"/>
    <col min="1805" max="1808" width="8.77734375" style="23"/>
    <col min="1809" max="1809" width="10.21875" style="23" customWidth="1"/>
    <col min="1810" max="2048" width="8.77734375" style="23"/>
    <col min="2049" max="2049" width="13.77734375" style="23" customWidth="1"/>
    <col min="2050" max="2051" width="9.21875" style="23" customWidth="1"/>
    <col min="2052" max="2053" width="8.77734375" style="23"/>
    <col min="2054" max="2054" width="7.77734375" style="23" customWidth="1"/>
    <col min="2055" max="2055" width="8.77734375" style="23"/>
    <col min="2056" max="2056" width="11.77734375" style="23" customWidth="1"/>
    <col min="2057" max="2057" width="8.44140625" style="23" bestFit="1" customWidth="1"/>
    <col min="2058" max="2058" width="12" style="23" bestFit="1" customWidth="1"/>
    <col min="2059" max="2059" width="12.5546875" style="23" bestFit="1" customWidth="1"/>
    <col min="2060" max="2060" width="12" style="23" bestFit="1" customWidth="1"/>
    <col min="2061" max="2064" width="8.77734375" style="23"/>
    <col min="2065" max="2065" width="10.21875" style="23" customWidth="1"/>
    <col min="2066" max="2304" width="8.77734375" style="23"/>
    <col min="2305" max="2305" width="13.77734375" style="23" customWidth="1"/>
    <col min="2306" max="2307" width="9.21875" style="23" customWidth="1"/>
    <col min="2308" max="2309" width="8.77734375" style="23"/>
    <col min="2310" max="2310" width="7.77734375" style="23" customWidth="1"/>
    <col min="2311" max="2311" width="8.77734375" style="23"/>
    <col min="2312" max="2312" width="11.77734375" style="23" customWidth="1"/>
    <col min="2313" max="2313" width="8.44140625" style="23" bestFit="1" customWidth="1"/>
    <col min="2314" max="2314" width="12" style="23" bestFit="1" customWidth="1"/>
    <col min="2315" max="2315" width="12.5546875" style="23" bestFit="1" customWidth="1"/>
    <col min="2316" max="2316" width="12" style="23" bestFit="1" customWidth="1"/>
    <col min="2317" max="2320" width="8.77734375" style="23"/>
    <col min="2321" max="2321" width="10.21875" style="23" customWidth="1"/>
    <col min="2322" max="2560" width="8.77734375" style="23"/>
    <col min="2561" max="2561" width="13.77734375" style="23" customWidth="1"/>
    <col min="2562" max="2563" width="9.21875" style="23" customWidth="1"/>
    <col min="2564" max="2565" width="8.77734375" style="23"/>
    <col min="2566" max="2566" width="7.77734375" style="23" customWidth="1"/>
    <col min="2567" max="2567" width="8.77734375" style="23"/>
    <col min="2568" max="2568" width="11.77734375" style="23" customWidth="1"/>
    <col min="2569" max="2569" width="8.44140625" style="23" bestFit="1" customWidth="1"/>
    <col min="2570" max="2570" width="12" style="23" bestFit="1" customWidth="1"/>
    <col min="2571" max="2571" width="12.5546875" style="23" bestFit="1" customWidth="1"/>
    <col min="2572" max="2572" width="12" style="23" bestFit="1" customWidth="1"/>
    <col min="2573" max="2576" width="8.77734375" style="23"/>
    <col min="2577" max="2577" width="10.21875" style="23" customWidth="1"/>
    <col min="2578" max="2816" width="8.77734375" style="23"/>
    <col min="2817" max="2817" width="13.77734375" style="23" customWidth="1"/>
    <col min="2818" max="2819" width="9.21875" style="23" customWidth="1"/>
    <col min="2820" max="2821" width="8.77734375" style="23"/>
    <col min="2822" max="2822" width="7.77734375" style="23" customWidth="1"/>
    <col min="2823" max="2823" width="8.77734375" style="23"/>
    <col min="2824" max="2824" width="11.77734375" style="23" customWidth="1"/>
    <col min="2825" max="2825" width="8.44140625" style="23" bestFit="1" customWidth="1"/>
    <col min="2826" max="2826" width="12" style="23" bestFit="1" customWidth="1"/>
    <col min="2827" max="2827" width="12.5546875" style="23" bestFit="1" customWidth="1"/>
    <col min="2828" max="2828" width="12" style="23" bestFit="1" customWidth="1"/>
    <col min="2829" max="2832" width="8.77734375" style="23"/>
    <col min="2833" max="2833" width="10.21875" style="23" customWidth="1"/>
    <col min="2834" max="3072" width="8.77734375" style="23"/>
    <col min="3073" max="3073" width="13.77734375" style="23" customWidth="1"/>
    <col min="3074" max="3075" width="9.21875" style="23" customWidth="1"/>
    <col min="3076" max="3077" width="8.77734375" style="23"/>
    <col min="3078" max="3078" width="7.77734375" style="23" customWidth="1"/>
    <col min="3079" max="3079" width="8.77734375" style="23"/>
    <col min="3080" max="3080" width="11.77734375" style="23" customWidth="1"/>
    <col min="3081" max="3081" width="8.44140625" style="23" bestFit="1" customWidth="1"/>
    <col min="3082" max="3082" width="12" style="23" bestFit="1" customWidth="1"/>
    <col min="3083" max="3083" width="12.5546875" style="23" bestFit="1" customWidth="1"/>
    <col min="3084" max="3084" width="12" style="23" bestFit="1" customWidth="1"/>
    <col min="3085" max="3088" width="8.77734375" style="23"/>
    <col min="3089" max="3089" width="10.21875" style="23" customWidth="1"/>
    <col min="3090" max="3328" width="8.77734375" style="23"/>
    <col min="3329" max="3329" width="13.77734375" style="23" customWidth="1"/>
    <col min="3330" max="3331" width="9.21875" style="23" customWidth="1"/>
    <col min="3332" max="3333" width="8.77734375" style="23"/>
    <col min="3334" max="3334" width="7.77734375" style="23" customWidth="1"/>
    <col min="3335" max="3335" width="8.77734375" style="23"/>
    <col min="3336" max="3336" width="11.77734375" style="23" customWidth="1"/>
    <col min="3337" max="3337" width="8.44140625" style="23" bestFit="1" customWidth="1"/>
    <col min="3338" max="3338" width="12" style="23" bestFit="1" customWidth="1"/>
    <col min="3339" max="3339" width="12.5546875" style="23" bestFit="1" customWidth="1"/>
    <col min="3340" max="3340" width="12" style="23" bestFit="1" customWidth="1"/>
    <col min="3341" max="3344" width="8.77734375" style="23"/>
    <col min="3345" max="3345" width="10.21875" style="23" customWidth="1"/>
    <col min="3346" max="3584" width="8.77734375" style="23"/>
    <col min="3585" max="3585" width="13.77734375" style="23" customWidth="1"/>
    <col min="3586" max="3587" width="9.21875" style="23" customWidth="1"/>
    <col min="3588" max="3589" width="8.77734375" style="23"/>
    <col min="3590" max="3590" width="7.77734375" style="23" customWidth="1"/>
    <col min="3591" max="3591" width="8.77734375" style="23"/>
    <col min="3592" max="3592" width="11.77734375" style="23" customWidth="1"/>
    <col min="3593" max="3593" width="8.44140625" style="23" bestFit="1" customWidth="1"/>
    <col min="3594" max="3594" width="12" style="23" bestFit="1" customWidth="1"/>
    <col min="3595" max="3595" width="12.5546875" style="23" bestFit="1" customWidth="1"/>
    <col min="3596" max="3596" width="12" style="23" bestFit="1" customWidth="1"/>
    <col min="3597" max="3600" width="8.77734375" style="23"/>
    <col min="3601" max="3601" width="10.21875" style="23" customWidth="1"/>
    <col min="3602" max="3840" width="8.77734375" style="23"/>
    <col min="3841" max="3841" width="13.77734375" style="23" customWidth="1"/>
    <col min="3842" max="3843" width="9.21875" style="23" customWidth="1"/>
    <col min="3844" max="3845" width="8.77734375" style="23"/>
    <col min="3846" max="3846" width="7.77734375" style="23" customWidth="1"/>
    <col min="3847" max="3847" width="8.77734375" style="23"/>
    <col min="3848" max="3848" width="11.77734375" style="23" customWidth="1"/>
    <col min="3849" max="3849" width="8.44140625" style="23" bestFit="1" customWidth="1"/>
    <col min="3850" max="3850" width="12" style="23" bestFit="1" customWidth="1"/>
    <col min="3851" max="3851" width="12.5546875" style="23" bestFit="1" customWidth="1"/>
    <col min="3852" max="3852" width="12" style="23" bestFit="1" customWidth="1"/>
    <col min="3853" max="3856" width="8.77734375" style="23"/>
    <col min="3857" max="3857" width="10.21875" style="23" customWidth="1"/>
    <col min="3858" max="4096" width="8.77734375" style="23"/>
    <col min="4097" max="4097" width="13.77734375" style="23" customWidth="1"/>
    <col min="4098" max="4099" width="9.21875" style="23" customWidth="1"/>
    <col min="4100" max="4101" width="8.77734375" style="23"/>
    <col min="4102" max="4102" width="7.77734375" style="23" customWidth="1"/>
    <col min="4103" max="4103" width="8.77734375" style="23"/>
    <col min="4104" max="4104" width="11.77734375" style="23" customWidth="1"/>
    <col min="4105" max="4105" width="8.44140625" style="23" bestFit="1" customWidth="1"/>
    <col min="4106" max="4106" width="12" style="23" bestFit="1" customWidth="1"/>
    <col min="4107" max="4107" width="12.5546875" style="23" bestFit="1" customWidth="1"/>
    <col min="4108" max="4108" width="12" style="23" bestFit="1" customWidth="1"/>
    <col min="4109" max="4112" width="8.77734375" style="23"/>
    <col min="4113" max="4113" width="10.21875" style="23" customWidth="1"/>
    <col min="4114" max="4352" width="8.77734375" style="23"/>
    <col min="4353" max="4353" width="13.77734375" style="23" customWidth="1"/>
    <col min="4354" max="4355" width="9.21875" style="23" customWidth="1"/>
    <col min="4356" max="4357" width="8.77734375" style="23"/>
    <col min="4358" max="4358" width="7.77734375" style="23" customWidth="1"/>
    <col min="4359" max="4359" width="8.77734375" style="23"/>
    <col min="4360" max="4360" width="11.77734375" style="23" customWidth="1"/>
    <col min="4361" max="4361" width="8.44140625" style="23" bestFit="1" customWidth="1"/>
    <col min="4362" max="4362" width="12" style="23" bestFit="1" customWidth="1"/>
    <col min="4363" max="4363" width="12.5546875" style="23" bestFit="1" customWidth="1"/>
    <col min="4364" max="4364" width="12" style="23" bestFit="1" customWidth="1"/>
    <col min="4365" max="4368" width="8.77734375" style="23"/>
    <col min="4369" max="4369" width="10.21875" style="23" customWidth="1"/>
    <col min="4370" max="4608" width="8.77734375" style="23"/>
    <col min="4609" max="4609" width="13.77734375" style="23" customWidth="1"/>
    <col min="4610" max="4611" width="9.21875" style="23" customWidth="1"/>
    <col min="4612" max="4613" width="8.77734375" style="23"/>
    <col min="4614" max="4614" width="7.77734375" style="23" customWidth="1"/>
    <col min="4615" max="4615" width="8.77734375" style="23"/>
    <col min="4616" max="4616" width="11.77734375" style="23" customWidth="1"/>
    <col min="4617" max="4617" width="8.44140625" style="23" bestFit="1" customWidth="1"/>
    <col min="4618" max="4618" width="12" style="23" bestFit="1" customWidth="1"/>
    <col min="4619" max="4619" width="12.5546875" style="23" bestFit="1" customWidth="1"/>
    <col min="4620" max="4620" width="12" style="23" bestFit="1" customWidth="1"/>
    <col min="4621" max="4624" width="8.77734375" style="23"/>
    <col min="4625" max="4625" width="10.21875" style="23" customWidth="1"/>
    <col min="4626" max="4864" width="8.77734375" style="23"/>
    <col min="4865" max="4865" width="13.77734375" style="23" customWidth="1"/>
    <col min="4866" max="4867" width="9.21875" style="23" customWidth="1"/>
    <col min="4868" max="4869" width="8.77734375" style="23"/>
    <col min="4870" max="4870" width="7.77734375" style="23" customWidth="1"/>
    <col min="4871" max="4871" width="8.77734375" style="23"/>
    <col min="4872" max="4872" width="11.77734375" style="23" customWidth="1"/>
    <col min="4873" max="4873" width="8.44140625" style="23" bestFit="1" customWidth="1"/>
    <col min="4874" max="4874" width="12" style="23" bestFit="1" customWidth="1"/>
    <col min="4875" max="4875" width="12.5546875" style="23" bestFit="1" customWidth="1"/>
    <col min="4876" max="4876" width="12" style="23" bestFit="1" customWidth="1"/>
    <col min="4877" max="4880" width="8.77734375" style="23"/>
    <col min="4881" max="4881" width="10.21875" style="23" customWidth="1"/>
    <col min="4882" max="5120" width="8.77734375" style="23"/>
    <col min="5121" max="5121" width="13.77734375" style="23" customWidth="1"/>
    <col min="5122" max="5123" width="9.21875" style="23" customWidth="1"/>
    <col min="5124" max="5125" width="8.77734375" style="23"/>
    <col min="5126" max="5126" width="7.77734375" style="23" customWidth="1"/>
    <col min="5127" max="5127" width="8.77734375" style="23"/>
    <col min="5128" max="5128" width="11.77734375" style="23" customWidth="1"/>
    <col min="5129" max="5129" width="8.44140625" style="23" bestFit="1" customWidth="1"/>
    <col min="5130" max="5130" width="12" style="23" bestFit="1" customWidth="1"/>
    <col min="5131" max="5131" width="12.5546875" style="23" bestFit="1" customWidth="1"/>
    <col min="5132" max="5132" width="12" style="23" bestFit="1" customWidth="1"/>
    <col min="5133" max="5136" width="8.77734375" style="23"/>
    <col min="5137" max="5137" width="10.21875" style="23" customWidth="1"/>
    <col min="5138" max="5376" width="8.77734375" style="23"/>
    <col min="5377" max="5377" width="13.77734375" style="23" customWidth="1"/>
    <col min="5378" max="5379" width="9.21875" style="23" customWidth="1"/>
    <col min="5380" max="5381" width="8.77734375" style="23"/>
    <col min="5382" max="5382" width="7.77734375" style="23" customWidth="1"/>
    <col min="5383" max="5383" width="8.77734375" style="23"/>
    <col min="5384" max="5384" width="11.77734375" style="23" customWidth="1"/>
    <col min="5385" max="5385" width="8.44140625" style="23" bestFit="1" customWidth="1"/>
    <col min="5386" max="5386" width="12" style="23" bestFit="1" customWidth="1"/>
    <col min="5387" max="5387" width="12.5546875" style="23" bestFit="1" customWidth="1"/>
    <col min="5388" max="5388" width="12" style="23" bestFit="1" customWidth="1"/>
    <col min="5389" max="5392" width="8.77734375" style="23"/>
    <col min="5393" max="5393" width="10.21875" style="23" customWidth="1"/>
    <col min="5394" max="5632" width="8.77734375" style="23"/>
    <col min="5633" max="5633" width="13.77734375" style="23" customWidth="1"/>
    <col min="5634" max="5635" width="9.21875" style="23" customWidth="1"/>
    <col min="5636" max="5637" width="8.77734375" style="23"/>
    <col min="5638" max="5638" width="7.77734375" style="23" customWidth="1"/>
    <col min="5639" max="5639" width="8.77734375" style="23"/>
    <col min="5640" max="5640" width="11.77734375" style="23" customWidth="1"/>
    <col min="5641" max="5641" width="8.44140625" style="23" bestFit="1" customWidth="1"/>
    <col min="5642" max="5642" width="12" style="23" bestFit="1" customWidth="1"/>
    <col min="5643" max="5643" width="12.5546875" style="23" bestFit="1" customWidth="1"/>
    <col min="5644" max="5644" width="12" style="23" bestFit="1" customWidth="1"/>
    <col min="5645" max="5648" width="8.77734375" style="23"/>
    <col min="5649" max="5649" width="10.21875" style="23" customWidth="1"/>
    <col min="5650" max="5888" width="8.77734375" style="23"/>
    <col min="5889" max="5889" width="13.77734375" style="23" customWidth="1"/>
    <col min="5890" max="5891" width="9.21875" style="23" customWidth="1"/>
    <col min="5892" max="5893" width="8.77734375" style="23"/>
    <col min="5894" max="5894" width="7.77734375" style="23" customWidth="1"/>
    <col min="5895" max="5895" width="8.77734375" style="23"/>
    <col min="5896" max="5896" width="11.77734375" style="23" customWidth="1"/>
    <col min="5897" max="5897" width="8.44140625" style="23" bestFit="1" customWidth="1"/>
    <col min="5898" max="5898" width="12" style="23" bestFit="1" customWidth="1"/>
    <col min="5899" max="5899" width="12.5546875" style="23" bestFit="1" customWidth="1"/>
    <col min="5900" max="5900" width="12" style="23" bestFit="1" customWidth="1"/>
    <col min="5901" max="5904" width="8.77734375" style="23"/>
    <col min="5905" max="5905" width="10.21875" style="23" customWidth="1"/>
    <col min="5906" max="6144" width="8.77734375" style="23"/>
    <col min="6145" max="6145" width="13.77734375" style="23" customWidth="1"/>
    <col min="6146" max="6147" width="9.21875" style="23" customWidth="1"/>
    <col min="6148" max="6149" width="8.77734375" style="23"/>
    <col min="6150" max="6150" width="7.77734375" style="23" customWidth="1"/>
    <col min="6151" max="6151" width="8.77734375" style="23"/>
    <col min="6152" max="6152" width="11.77734375" style="23" customWidth="1"/>
    <col min="6153" max="6153" width="8.44140625" style="23" bestFit="1" customWidth="1"/>
    <col min="6154" max="6154" width="12" style="23" bestFit="1" customWidth="1"/>
    <col min="6155" max="6155" width="12.5546875" style="23" bestFit="1" customWidth="1"/>
    <col min="6156" max="6156" width="12" style="23" bestFit="1" customWidth="1"/>
    <col min="6157" max="6160" width="8.77734375" style="23"/>
    <col min="6161" max="6161" width="10.21875" style="23" customWidth="1"/>
    <col min="6162" max="6400" width="8.77734375" style="23"/>
    <col min="6401" max="6401" width="13.77734375" style="23" customWidth="1"/>
    <col min="6402" max="6403" width="9.21875" style="23" customWidth="1"/>
    <col min="6404" max="6405" width="8.77734375" style="23"/>
    <col min="6406" max="6406" width="7.77734375" style="23" customWidth="1"/>
    <col min="6407" max="6407" width="8.77734375" style="23"/>
    <col min="6408" max="6408" width="11.77734375" style="23" customWidth="1"/>
    <col min="6409" max="6409" width="8.44140625" style="23" bestFit="1" customWidth="1"/>
    <col min="6410" max="6410" width="12" style="23" bestFit="1" customWidth="1"/>
    <col min="6411" max="6411" width="12.5546875" style="23" bestFit="1" customWidth="1"/>
    <col min="6412" max="6412" width="12" style="23" bestFit="1" customWidth="1"/>
    <col min="6413" max="6416" width="8.77734375" style="23"/>
    <col min="6417" max="6417" width="10.21875" style="23" customWidth="1"/>
    <col min="6418" max="6656" width="8.77734375" style="23"/>
    <col min="6657" max="6657" width="13.77734375" style="23" customWidth="1"/>
    <col min="6658" max="6659" width="9.21875" style="23" customWidth="1"/>
    <col min="6660" max="6661" width="8.77734375" style="23"/>
    <col min="6662" max="6662" width="7.77734375" style="23" customWidth="1"/>
    <col min="6663" max="6663" width="8.77734375" style="23"/>
    <col min="6664" max="6664" width="11.77734375" style="23" customWidth="1"/>
    <col min="6665" max="6665" width="8.44140625" style="23" bestFit="1" customWidth="1"/>
    <col min="6666" max="6666" width="12" style="23" bestFit="1" customWidth="1"/>
    <col min="6667" max="6667" width="12.5546875" style="23" bestFit="1" customWidth="1"/>
    <col min="6668" max="6668" width="12" style="23" bestFit="1" customWidth="1"/>
    <col min="6669" max="6672" width="8.77734375" style="23"/>
    <col min="6673" max="6673" width="10.21875" style="23" customWidth="1"/>
    <col min="6674" max="6912" width="8.77734375" style="23"/>
    <col min="6913" max="6913" width="13.77734375" style="23" customWidth="1"/>
    <col min="6914" max="6915" width="9.21875" style="23" customWidth="1"/>
    <col min="6916" max="6917" width="8.77734375" style="23"/>
    <col min="6918" max="6918" width="7.77734375" style="23" customWidth="1"/>
    <col min="6919" max="6919" width="8.77734375" style="23"/>
    <col min="6920" max="6920" width="11.77734375" style="23" customWidth="1"/>
    <col min="6921" max="6921" width="8.44140625" style="23" bestFit="1" customWidth="1"/>
    <col min="6922" max="6922" width="12" style="23" bestFit="1" customWidth="1"/>
    <col min="6923" max="6923" width="12.5546875" style="23" bestFit="1" customWidth="1"/>
    <col min="6924" max="6924" width="12" style="23" bestFit="1" customWidth="1"/>
    <col min="6925" max="6928" width="8.77734375" style="23"/>
    <col min="6929" max="6929" width="10.21875" style="23" customWidth="1"/>
    <col min="6930" max="7168" width="8.77734375" style="23"/>
    <col min="7169" max="7169" width="13.77734375" style="23" customWidth="1"/>
    <col min="7170" max="7171" width="9.21875" style="23" customWidth="1"/>
    <col min="7172" max="7173" width="8.77734375" style="23"/>
    <col min="7174" max="7174" width="7.77734375" style="23" customWidth="1"/>
    <col min="7175" max="7175" width="8.77734375" style="23"/>
    <col min="7176" max="7176" width="11.77734375" style="23" customWidth="1"/>
    <col min="7177" max="7177" width="8.44140625" style="23" bestFit="1" customWidth="1"/>
    <col min="7178" max="7178" width="12" style="23" bestFit="1" customWidth="1"/>
    <col min="7179" max="7179" width="12.5546875" style="23" bestFit="1" customWidth="1"/>
    <col min="7180" max="7180" width="12" style="23" bestFit="1" customWidth="1"/>
    <col min="7181" max="7184" width="8.77734375" style="23"/>
    <col min="7185" max="7185" width="10.21875" style="23" customWidth="1"/>
    <col min="7186" max="7424" width="8.77734375" style="23"/>
    <col min="7425" max="7425" width="13.77734375" style="23" customWidth="1"/>
    <col min="7426" max="7427" width="9.21875" style="23" customWidth="1"/>
    <col min="7428" max="7429" width="8.77734375" style="23"/>
    <col min="7430" max="7430" width="7.77734375" style="23" customWidth="1"/>
    <col min="7431" max="7431" width="8.77734375" style="23"/>
    <col min="7432" max="7432" width="11.77734375" style="23" customWidth="1"/>
    <col min="7433" max="7433" width="8.44140625" style="23" bestFit="1" customWidth="1"/>
    <col min="7434" max="7434" width="12" style="23" bestFit="1" customWidth="1"/>
    <col min="7435" max="7435" width="12.5546875" style="23" bestFit="1" customWidth="1"/>
    <col min="7436" max="7436" width="12" style="23" bestFit="1" customWidth="1"/>
    <col min="7437" max="7440" width="8.77734375" style="23"/>
    <col min="7441" max="7441" width="10.21875" style="23" customWidth="1"/>
    <col min="7442" max="7680" width="8.77734375" style="23"/>
    <col min="7681" max="7681" width="13.77734375" style="23" customWidth="1"/>
    <col min="7682" max="7683" width="9.21875" style="23" customWidth="1"/>
    <col min="7684" max="7685" width="8.77734375" style="23"/>
    <col min="7686" max="7686" width="7.77734375" style="23" customWidth="1"/>
    <col min="7687" max="7687" width="8.77734375" style="23"/>
    <col min="7688" max="7688" width="11.77734375" style="23" customWidth="1"/>
    <col min="7689" max="7689" width="8.44140625" style="23" bestFit="1" customWidth="1"/>
    <col min="7690" max="7690" width="12" style="23" bestFit="1" customWidth="1"/>
    <col min="7691" max="7691" width="12.5546875" style="23" bestFit="1" customWidth="1"/>
    <col min="7692" max="7692" width="12" style="23" bestFit="1" customWidth="1"/>
    <col min="7693" max="7696" width="8.77734375" style="23"/>
    <col min="7697" max="7697" width="10.21875" style="23" customWidth="1"/>
    <col min="7698" max="7936" width="8.77734375" style="23"/>
    <col min="7937" max="7937" width="13.77734375" style="23" customWidth="1"/>
    <col min="7938" max="7939" width="9.21875" style="23" customWidth="1"/>
    <col min="7940" max="7941" width="8.77734375" style="23"/>
    <col min="7942" max="7942" width="7.77734375" style="23" customWidth="1"/>
    <col min="7943" max="7943" width="8.77734375" style="23"/>
    <col min="7944" max="7944" width="11.77734375" style="23" customWidth="1"/>
    <col min="7945" max="7945" width="8.44140625" style="23" bestFit="1" customWidth="1"/>
    <col min="7946" max="7946" width="12" style="23" bestFit="1" customWidth="1"/>
    <col min="7947" max="7947" width="12.5546875" style="23" bestFit="1" customWidth="1"/>
    <col min="7948" max="7948" width="12" style="23" bestFit="1" customWidth="1"/>
    <col min="7949" max="7952" width="8.77734375" style="23"/>
    <col min="7953" max="7953" width="10.21875" style="23" customWidth="1"/>
    <col min="7954" max="8192" width="8.77734375" style="23"/>
    <col min="8193" max="8193" width="13.77734375" style="23" customWidth="1"/>
    <col min="8194" max="8195" width="9.21875" style="23" customWidth="1"/>
    <col min="8196" max="8197" width="8.77734375" style="23"/>
    <col min="8198" max="8198" width="7.77734375" style="23" customWidth="1"/>
    <col min="8199" max="8199" width="8.77734375" style="23"/>
    <col min="8200" max="8200" width="11.77734375" style="23" customWidth="1"/>
    <col min="8201" max="8201" width="8.44140625" style="23" bestFit="1" customWidth="1"/>
    <col min="8202" max="8202" width="12" style="23" bestFit="1" customWidth="1"/>
    <col min="8203" max="8203" width="12.5546875" style="23" bestFit="1" customWidth="1"/>
    <col min="8204" max="8204" width="12" style="23" bestFit="1" customWidth="1"/>
    <col min="8205" max="8208" width="8.77734375" style="23"/>
    <col min="8209" max="8209" width="10.21875" style="23" customWidth="1"/>
    <col min="8210" max="8448" width="8.77734375" style="23"/>
    <col min="8449" max="8449" width="13.77734375" style="23" customWidth="1"/>
    <col min="8450" max="8451" width="9.21875" style="23" customWidth="1"/>
    <col min="8452" max="8453" width="8.77734375" style="23"/>
    <col min="8454" max="8454" width="7.77734375" style="23" customWidth="1"/>
    <col min="8455" max="8455" width="8.77734375" style="23"/>
    <col min="8456" max="8456" width="11.77734375" style="23" customWidth="1"/>
    <col min="8457" max="8457" width="8.44140625" style="23" bestFit="1" customWidth="1"/>
    <col min="8458" max="8458" width="12" style="23" bestFit="1" customWidth="1"/>
    <col min="8459" max="8459" width="12.5546875" style="23" bestFit="1" customWidth="1"/>
    <col min="8460" max="8460" width="12" style="23" bestFit="1" customWidth="1"/>
    <col min="8461" max="8464" width="8.77734375" style="23"/>
    <col min="8465" max="8465" width="10.21875" style="23" customWidth="1"/>
    <col min="8466" max="8704" width="8.77734375" style="23"/>
    <col min="8705" max="8705" width="13.77734375" style="23" customWidth="1"/>
    <col min="8706" max="8707" width="9.21875" style="23" customWidth="1"/>
    <col min="8708" max="8709" width="8.77734375" style="23"/>
    <col min="8710" max="8710" width="7.77734375" style="23" customWidth="1"/>
    <col min="8711" max="8711" width="8.77734375" style="23"/>
    <col min="8712" max="8712" width="11.77734375" style="23" customWidth="1"/>
    <col min="8713" max="8713" width="8.44140625" style="23" bestFit="1" customWidth="1"/>
    <col min="8714" max="8714" width="12" style="23" bestFit="1" customWidth="1"/>
    <col min="8715" max="8715" width="12.5546875" style="23" bestFit="1" customWidth="1"/>
    <col min="8716" max="8716" width="12" style="23" bestFit="1" customWidth="1"/>
    <col min="8717" max="8720" width="8.77734375" style="23"/>
    <col min="8721" max="8721" width="10.21875" style="23" customWidth="1"/>
    <col min="8722" max="8960" width="8.77734375" style="23"/>
    <col min="8961" max="8961" width="13.77734375" style="23" customWidth="1"/>
    <col min="8962" max="8963" width="9.21875" style="23" customWidth="1"/>
    <col min="8964" max="8965" width="8.77734375" style="23"/>
    <col min="8966" max="8966" width="7.77734375" style="23" customWidth="1"/>
    <col min="8967" max="8967" width="8.77734375" style="23"/>
    <col min="8968" max="8968" width="11.77734375" style="23" customWidth="1"/>
    <col min="8969" max="8969" width="8.44140625" style="23" bestFit="1" customWidth="1"/>
    <col min="8970" max="8970" width="12" style="23" bestFit="1" customWidth="1"/>
    <col min="8971" max="8971" width="12.5546875" style="23" bestFit="1" customWidth="1"/>
    <col min="8972" max="8972" width="12" style="23" bestFit="1" customWidth="1"/>
    <col min="8973" max="8976" width="8.77734375" style="23"/>
    <col min="8977" max="8977" width="10.21875" style="23" customWidth="1"/>
    <col min="8978" max="9216" width="8.77734375" style="23"/>
    <col min="9217" max="9217" width="13.77734375" style="23" customWidth="1"/>
    <col min="9218" max="9219" width="9.21875" style="23" customWidth="1"/>
    <col min="9220" max="9221" width="8.77734375" style="23"/>
    <col min="9222" max="9222" width="7.77734375" style="23" customWidth="1"/>
    <col min="9223" max="9223" width="8.77734375" style="23"/>
    <col min="9224" max="9224" width="11.77734375" style="23" customWidth="1"/>
    <col min="9225" max="9225" width="8.44140625" style="23" bestFit="1" customWidth="1"/>
    <col min="9226" max="9226" width="12" style="23" bestFit="1" customWidth="1"/>
    <col min="9227" max="9227" width="12.5546875" style="23" bestFit="1" customWidth="1"/>
    <col min="9228" max="9228" width="12" style="23" bestFit="1" customWidth="1"/>
    <col min="9229" max="9232" width="8.77734375" style="23"/>
    <col min="9233" max="9233" width="10.21875" style="23" customWidth="1"/>
    <col min="9234" max="9472" width="8.77734375" style="23"/>
    <col min="9473" max="9473" width="13.77734375" style="23" customWidth="1"/>
    <col min="9474" max="9475" width="9.21875" style="23" customWidth="1"/>
    <col min="9476" max="9477" width="8.77734375" style="23"/>
    <col min="9478" max="9478" width="7.77734375" style="23" customWidth="1"/>
    <col min="9479" max="9479" width="8.77734375" style="23"/>
    <col min="9480" max="9480" width="11.77734375" style="23" customWidth="1"/>
    <col min="9481" max="9481" width="8.44140625" style="23" bestFit="1" customWidth="1"/>
    <col min="9482" max="9482" width="12" style="23" bestFit="1" customWidth="1"/>
    <col min="9483" max="9483" width="12.5546875" style="23" bestFit="1" customWidth="1"/>
    <col min="9484" max="9484" width="12" style="23" bestFit="1" customWidth="1"/>
    <col min="9485" max="9488" width="8.77734375" style="23"/>
    <col min="9489" max="9489" width="10.21875" style="23" customWidth="1"/>
    <col min="9490" max="9728" width="8.77734375" style="23"/>
    <col min="9729" max="9729" width="13.77734375" style="23" customWidth="1"/>
    <col min="9730" max="9731" width="9.21875" style="23" customWidth="1"/>
    <col min="9732" max="9733" width="8.77734375" style="23"/>
    <col min="9734" max="9734" width="7.77734375" style="23" customWidth="1"/>
    <col min="9735" max="9735" width="8.77734375" style="23"/>
    <col min="9736" max="9736" width="11.77734375" style="23" customWidth="1"/>
    <col min="9737" max="9737" width="8.44140625" style="23" bestFit="1" customWidth="1"/>
    <col min="9738" max="9738" width="12" style="23" bestFit="1" customWidth="1"/>
    <col min="9739" max="9739" width="12.5546875" style="23" bestFit="1" customWidth="1"/>
    <col min="9740" max="9740" width="12" style="23" bestFit="1" customWidth="1"/>
    <col min="9741" max="9744" width="8.77734375" style="23"/>
    <col min="9745" max="9745" width="10.21875" style="23" customWidth="1"/>
    <col min="9746" max="9984" width="8.77734375" style="23"/>
    <col min="9985" max="9985" width="13.77734375" style="23" customWidth="1"/>
    <col min="9986" max="9987" width="9.21875" style="23" customWidth="1"/>
    <col min="9988" max="9989" width="8.77734375" style="23"/>
    <col min="9990" max="9990" width="7.77734375" style="23" customWidth="1"/>
    <col min="9991" max="9991" width="8.77734375" style="23"/>
    <col min="9992" max="9992" width="11.77734375" style="23" customWidth="1"/>
    <col min="9993" max="9993" width="8.44140625" style="23" bestFit="1" customWidth="1"/>
    <col min="9994" max="9994" width="12" style="23" bestFit="1" customWidth="1"/>
    <col min="9995" max="9995" width="12.5546875" style="23" bestFit="1" customWidth="1"/>
    <col min="9996" max="9996" width="12" style="23" bestFit="1" customWidth="1"/>
    <col min="9997" max="10000" width="8.77734375" style="23"/>
    <col min="10001" max="10001" width="10.21875" style="23" customWidth="1"/>
    <col min="10002" max="10240" width="8.77734375" style="23"/>
    <col min="10241" max="10241" width="13.77734375" style="23" customWidth="1"/>
    <col min="10242" max="10243" width="9.21875" style="23" customWidth="1"/>
    <col min="10244" max="10245" width="8.77734375" style="23"/>
    <col min="10246" max="10246" width="7.77734375" style="23" customWidth="1"/>
    <col min="10247" max="10247" width="8.77734375" style="23"/>
    <col min="10248" max="10248" width="11.77734375" style="23" customWidth="1"/>
    <col min="10249" max="10249" width="8.44140625" style="23" bestFit="1" customWidth="1"/>
    <col min="10250" max="10250" width="12" style="23" bestFit="1" customWidth="1"/>
    <col min="10251" max="10251" width="12.5546875" style="23" bestFit="1" customWidth="1"/>
    <col min="10252" max="10252" width="12" style="23" bestFit="1" customWidth="1"/>
    <col min="10253" max="10256" width="8.77734375" style="23"/>
    <col min="10257" max="10257" width="10.21875" style="23" customWidth="1"/>
    <col min="10258" max="10496" width="8.77734375" style="23"/>
    <col min="10497" max="10497" width="13.77734375" style="23" customWidth="1"/>
    <col min="10498" max="10499" width="9.21875" style="23" customWidth="1"/>
    <col min="10500" max="10501" width="8.77734375" style="23"/>
    <col min="10502" max="10502" width="7.77734375" style="23" customWidth="1"/>
    <col min="10503" max="10503" width="8.77734375" style="23"/>
    <col min="10504" max="10504" width="11.77734375" style="23" customWidth="1"/>
    <col min="10505" max="10505" width="8.44140625" style="23" bestFit="1" customWidth="1"/>
    <col min="10506" max="10506" width="12" style="23" bestFit="1" customWidth="1"/>
    <col min="10507" max="10507" width="12.5546875" style="23" bestFit="1" customWidth="1"/>
    <col min="10508" max="10508" width="12" style="23" bestFit="1" customWidth="1"/>
    <col min="10509" max="10512" width="8.77734375" style="23"/>
    <col min="10513" max="10513" width="10.21875" style="23" customWidth="1"/>
    <col min="10514" max="10752" width="8.77734375" style="23"/>
    <col min="10753" max="10753" width="13.77734375" style="23" customWidth="1"/>
    <col min="10754" max="10755" width="9.21875" style="23" customWidth="1"/>
    <col min="10756" max="10757" width="8.77734375" style="23"/>
    <col min="10758" max="10758" width="7.77734375" style="23" customWidth="1"/>
    <col min="10759" max="10759" width="8.77734375" style="23"/>
    <col min="10760" max="10760" width="11.77734375" style="23" customWidth="1"/>
    <col min="10761" max="10761" width="8.44140625" style="23" bestFit="1" customWidth="1"/>
    <col min="10762" max="10762" width="12" style="23" bestFit="1" customWidth="1"/>
    <col min="10763" max="10763" width="12.5546875" style="23" bestFit="1" customWidth="1"/>
    <col min="10764" max="10764" width="12" style="23" bestFit="1" customWidth="1"/>
    <col min="10765" max="10768" width="8.77734375" style="23"/>
    <col min="10769" max="10769" width="10.21875" style="23" customWidth="1"/>
    <col min="10770" max="11008" width="8.77734375" style="23"/>
    <col min="11009" max="11009" width="13.77734375" style="23" customWidth="1"/>
    <col min="11010" max="11011" width="9.21875" style="23" customWidth="1"/>
    <col min="11012" max="11013" width="8.77734375" style="23"/>
    <col min="11014" max="11014" width="7.77734375" style="23" customWidth="1"/>
    <col min="11015" max="11015" width="8.77734375" style="23"/>
    <col min="11016" max="11016" width="11.77734375" style="23" customWidth="1"/>
    <col min="11017" max="11017" width="8.44140625" style="23" bestFit="1" customWidth="1"/>
    <col min="11018" max="11018" width="12" style="23" bestFit="1" customWidth="1"/>
    <col min="11019" max="11019" width="12.5546875" style="23" bestFit="1" customWidth="1"/>
    <col min="11020" max="11020" width="12" style="23" bestFit="1" customWidth="1"/>
    <col min="11021" max="11024" width="8.77734375" style="23"/>
    <col min="11025" max="11025" width="10.21875" style="23" customWidth="1"/>
    <col min="11026" max="11264" width="8.77734375" style="23"/>
    <col min="11265" max="11265" width="13.77734375" style="23" customWidth="1"/>
    <col min="11266" max="11267" width="9.21875" style="23" customWidth="1"/>
    <col min="11268" max="11269" width="8.77734375" style="23"/>
    <col min="11270" max="11270" width="7.77734375" style="23" customWidth="1"/>
    <col min="11271" max="11271" width="8.77734375" style="23"/>
    <col min="11272" max="11272" width="11.77734375" style="23" customWidth="1"/>
    <col min="11273" max="11273" width="8.44140625" style="23" bestFit="1" customWidth="1"/>
    <col min="11274" max="11274" width="12" style="23" bestFit="1" customWidth="1"/>
    <col min="11275" max="11275" width="12.5546875" style="23" bestFit="1" customWidth="1"/>
    <col min="11276" max="11276" width="12" style="23" bestFit="1" customWidth="1"/>
    <col min="11277" max="11280" width="8.77734375" style="23"/>
    <col min="11281" max="11281" width="10.21875" style="23" customWidth="1"/>
    <col min="11282" max="11520" width="8.77734375" style="23"/>
    <col min="11521" max="11521" width="13.77734375" style="23" customWidth="1"/>
    <col min="11522" max="11523" width="9.21875" style="23" customWidth="1"/>
    <col min="11524" max="11525" width="8.77734375" style="23"/>
    <col min="11526" max="11526" width="7.77734375" style="23" customWidth="1"/>
    <col min="11527" max="11527" width="8.77734375" style="23"/>
    <col min="11528" max="11528" width="11.77734375" style="23" customWidth="1"/>
    <col min="11529" max="11529" width="8.44140625" style="23" bestFit="1" customWidth="1"/>
    <col min="11530" max="11530" width="12" style="23" bestFit="1" customWidth="1"/>
    <col min="11531" max="11531" width="12.5546875" style="23" bestFit="1" customWidth="1"/>
    <col min="11532" max="11532" width="12" style="23" bestFit="1" customWidth="1"/>
    <col min="11533" max="11536" width="8.77734375" style="23"/>
    <col min="11537" max="11537" width="10.21875" style="23" customWidth="1"/>
    <col min="11538" max="11776" width="8.77734375" style="23"/>
    <col min="11777" max="11777" width="13.77734375" style="23" customWidth="1"/>
    <col min="11778" max="11779" width="9.21875" style="23" customWidth="1"/>
    <col min="11780" max="11781" width="8.77734375" style="23"/>
    <col min="11782" max="11782" width="7.77734375" style="23" customWidth="1"/>
    <col min="11783" max="11783" width="8.77734375" style="23"/>
    <col min="11784" max="11784" width="11.77734375" style="23" customWidth="1"/>
    <col min="11785" max="11785" width="8.44140625" style="23" bestFit="1" customWidth="1"/>
    <col min="11786" max="11786" width="12" style="23" bestFit="1" customWidth="1"/>
    <col min="11787" max="11787" width="12.5546875" style="23" bestFit="1" customWidth="1"/>
    <col min="11788" max="11788" width="12" style="23" bestFit="1" customWidth="1"/>
    <col min="11789" max="11792" width="8.77734375" style="23"/>
    <col min="11793" max="11793" width="10.21875" style="23" customWidth="1"/>
    <col min="11794" max="12032" width="8.77734375" style="23"/>
    <col min="12033" max="12033" width="13.77734375" style="23" customWidth="1"/>
    <col min="12034" max="12035" width="9.21875" style="23" customWidth="1"/>
    <col min="12036" max="12037" width="8.77734375" style="23"/>
    <col min="12038" max="12038" width="7.77734375" style="23" customWidth="1"/>
    <col min="12039" max="12039" width="8.77734375" style="23"/>
    <col min="12040" max="12040" width="11.77734375" style="23" customWidth="1"/>
    <col min="12041" max="12041" width="8.44140625" style="23" bestFit="1" customWidth="1"/>
    <col min="12042" max="12042" width="12" style="23" bestFit="1" customWidth="1"/>
    <col min="12043" max="12043" width="12.5546875" style="23" bestFit="1" customWidth="1"/>
    <col min="12044" max="12044" width="12" style="23" bestFit="1" customWidth="1"/>
    <col min="12045" max="12048" width="8.77734375" style="23"/>
    <col min="12049" max="12049" width="10.21875" style="23" customWidth="1"/>
    <col min="12050" max="12288" width="8.77734375" style="23"/>
    <col min="12289" max="12289" width="13.77734375" style="23" customWidth="1"/>
    <col min="12290" max="12291" width="9.21875" style="23" customWidth="1"/>
    <col min="12292" max="12293" width="8.77734375" style="23"/>
    <col min="12294" max="12294" width="7.77734375" style="23" customWidth="1"/>
    <col min="12295" max="12295" width="8.77734375" style="23"/>
    <col min="12296" max="12296" width="11.77734375" style="23" customWidth="1"/>
    <col min="12297" max="12297" width="8.44140625" style="23" bestFit="1" customWidth="1"/>
    <col min="12298" max="12298" width="12" style="23" bestFit="1" customWidth="1"/>
    <col min="12299" max="12299" width="12.5546875" style="23" bestFit="1" customWidth="1"/>
    <col min="12300" max="12300" width="12" style="23" bestFit="1" customWidth="1"/>
    <col min="12301" max="12304" width="8.77734375" style="23"/>
    <col min="12305" max="12305" width="10.21875" style="23" customWidth="1"/>
    <col min="12306" max="12544" width="8.77734375" style="23"/>
    <col min="12545" max="12545" width="13.77734375" style="23" customWidth="1"/>
    <col min="12546" max="12547" width="9.21875" style="23" customWidth="1"/>
    <col min="12548" max="12549" width="8.77734375" style="23"/>
    <col min="12550" max="12550" width="7.77734375" style="23" customWidth="1"/>
    <col min="12551" max="12551" width="8.77734375" style="23"/>
    <col min="12552" max="12552" width="11.77734375" style="23" customWidth="1"/>
    <col min="12553" max="12553" width="8.44140625" style="23" bestFit="1" customWidth="1"/>
    <col min="12554" max="12554" width="12" style="23" bestFit="1" customWidth="1"/>
    <col min="12555" max="12555" width="12.5546875" style="23" bestFit="1" customWidth="1"/>
    <col min="12556" max="12556" width="12" style="23" bestFit="1" customWidth="1"/>
    <col min="12557" max="12560" width="8.77734375" style="23"/>
    <col min="12561" max="12561" width="10.21875" style="23" customWidth="1"/>
    <col min="12562" max="12800" width="8.77734375" style="23"/>
    <col min="12801" max="12801" width="13.77734375" style="23" customWidth="1"/>
    <col min="12802" max="12803" width="9.21875" style="23" customWidth="1"/>
    <col min="12804" max="12805" width="8.77734375" style="23"/>
    <col min="12806" max="12806" width="7.77734375" style="23" customWidth="1"/>
    <col min="12807" max="12807" width="8.77734375" style="23"/>
    <col min="12808" max="12808" width="11.77734375" style="23" customWidth="1"/>
    <col min="12809" max="12809" width="8.44140625" style="23" bestFit="1" customWidth="1"/>
    <col min="12810" max="12810" width="12" style="23" bestFit="1" customWidth="1"/>
    <col min="12811" max="12811" width="12.5546875" style="23" bestFit="1" customWidth="1"/>
    <col min="12812" max="12812" width="12" style="23" bestFit="1" customWidth="1"/>
    <col min="12813" max="12816" width="8.77734375" style="23"/>
    <col min="12817" max="12817" width="10.21875" style="23" customWidth="1"/>
    <col min="12818" max="13056" width="8.77734375" style="23"/>
    <col min="13057" max="13057" width="13.77734375" style="23" customWidth="1"/>
    <col min="13058" max="13059" width="9.21875" style="23" customWidth="1"/>
    <col min="13060" max="13061" width="8.77734375" style="23"/>
    <col min="13062" max="13062" width="7.77734375" style="23" customWidth="1"/>
    <col min="13063" max="13063" width="8.77734375" style="23"/>
    <col min="13064" max="13064" width="11.77734375" style="23" customWidth="1"/>
    <col min="13065" max="13065" width="8.44140625" style="23" bestFit="1" customWidth="1"/>
    <col min="13066" max="13066" width="12" style="23" bestFit="1" customWidth="1"/>
    <col min="13067" max="13067" width="12.5546875" style="23" bestFit="1" customWidth="1"/>
    <col min="13068" max="13068" width="12" style="23" bestFit="1" customWidth="1"/>
    <col min="13069" max="13072" width="8.77734375" style="23"/>
    <col min="13073" max="13073" width="10.21875" style="23" customWidth="1"/>
    <col min="13074" max="13312" width="8.77734375" style="23"/>
    <col min="13313" max="13313" width="13.77734375" style="23" customWidth="1"/>
    <col min="13314" max="13315" width="9.21875" style="23" customWidth="1"/>
    <col min="13316" max="13317" width="8.77734375" style="23"/>
    <col min="13318" max="13318" width="7.77734375" style="23" customWidth="1"/>
    <col min="13319" max="13319" width="8.77734375" style="23"/>
    <col min="13320" max="13320" width="11.77734375" style="23" customWidth="1"/>
    <col min="13321" max="13321" width="8.44140625" style="23" bestFit="1" customWidth="1"/>
    <col min="13322" max="13322" width="12" style="23" bestFit="1" customWidth="1"/>
    <col min="13323" max="13323" width="12.5546875" style="23" bestFit="1" customWidth="1"/>
    <col min="13324" max="13324" width="12" style="23" bestFit="1" customWidth="1"/>
    <col min="13325" max="13328" width="8.77734375" style="23"/>
    <col min="13329" max="13329" width="10.21875" style="23" customWidth="1"/>
    <col min="13330" max="13568" width="8.77734375" style="23"/>
    <col min="13569" max="13569" width="13.77734375" style="23" customWidth="1"/>
    <col min="13570" max="13571" width="9.21875" style="23" customWidth="1"/>
    <col min="13572" max="13573" width="8.77734375" style="23"/>
    <col min="13574" max="13574" width="7.77734375" style="23" customWidth="1"/>
    <col min="13575" max="13575" width="8.77734375" style="23"/>
    <col min="13576" max="13576" width="11.77734375" style="23" customWidth="1"/>
    <col min="13577" max="13577" width="8.44140625" style="23" bestFit="1" customWidth="1"/>
    <col min="13578" max="13578" width="12" style="23" bestFit="1" customWidth="1"/>
    <col min="13579" max="13579" width="12.5546875" style="23" bestFit="1" customWidth="1"/>
    <col min="13580" max="13580" width="12" style="23" bestFit="1" customWidth="1"/>
    <col min="13581" max="13584" width="8.77734375" style="23"/>
    <col min="13585" max="13585" width="10.21875" style="23" customWidth="1"/>
    <col min="13586" max="13824" width="8.77734375" style="23"/>
    <col min="13825" max="13825" width="13.77734375" style="23" customWidth="1"/>
    <col min="13826" max="13827" width="9.21875" style="23" customWidth="1"/>
    <col min="13828" max="13829" width="8.77734375" style="23"/>
    <col min="13830" max="13830" width="7.77734375" style="23" customWidth="1"/>
    <col min="13831" max="13831" width="8.77734375" style="23"/>
    <col min="13832" max="13832" width="11.77734375" style="23" customWidth="1"/>
    <col min="13833" max="13833" width="8.44140625" style="23" bestFit="1" customWidth="1"/>
    <col min="13834" max="13834" width="12" style="23" bestFit="1" customWidth="1"/>
    <col min="13835" max="13835" width="12.5546875" style="23" bestFit="1" customWidth="1"/>
    <col min="13836" max="13836" width="12" style="23" bestFit="1" customWidth="1"/>
    <col min="13837" max="13840" width="8.77734375" style="23"/>
    <col min="13841" max="13841" width="10.21875" style="23" customWidth="1"/>
    <col min="13842" max="14080" width="8.77734375" style="23"/>
    <col min="14081" max="14081" width="13.77734375" style="23" customWidth="1"/>
    <col min="14082" max="14083" width="9.21875" style="23" customWidth="1"/>
    <col min="14084" max="14085" width="8.77734375" style="23"/>
    <col min="14086" max="14086" width="7.77734375" style="23" customWidth="1"/>
    <col min="14087" max="14087" width="8.77734375" style="23"/>
    <col min="14088" max="14088" width="11.77734375" style="23" customWidth="1"/>
    <col min="14089" max="14089" width="8.44140625" style="23" bestFit="1" customWidth="1"/>
    <col min="14090" max="14090" width="12" style="23" bestFit="1" customWidth="1"/>
    <col min="14091" max="14091" width="12.5546875" style="23" bestFit="1" customWidth="1"/>
    <col min="14092" max="14092" width="12" style="23" bestFit="1" customWidth="1"/>
    <col min="14093" max="14096" width="8.77734375" style="23"/>
    <col min="14097" max="14097" width="10.21875" style="23" customWidth="1"/>
    <col min="14098" max="14336" width="8.77734375" style="23"/>
    <col min="14337" max="14337" width="13.77734375" style="23" customWidth="1"/>
    <col min="14338" max="14339" width="9.21875" style="23" customWidth="1"/>
    <col min="14340" max="14341" width="8.77734375" style="23"/>
    <col min="14342" max="14342" width="7.77734375" style="23" customWidth="1"/>
    <col min="14343" max="14343" width="8.77734375" style="23"/>
    <col min="14344" max="14344" width="11.77734375" style="23" customWidth="1"/>
    <col min="14345" max="14345" width="8.44140625" style="23" bestFit="1" customWidth="1"/>
    <col min="14346" max="14346" width="12" style="23" bestFit="1" customWidth="1"/>
    <col min="14347" max="14347" width="12.5546875" style="23" bestFit="1" customWidth="1"/>
    <col min="14348" max="14348" width="12" style="23" bestFit="1" customWidth="1"/>
    <col min="14349" max="14352" width="8.77734375" style="23"/>
    <col min="14353" max="14353" width="10.21875" style="23" customWidth="1"/>
    <col min="14354" max="14592" width="8.77734375" style="23"/>
    <col min="14593" max="14593" width="13.77734375" style="23" customWidth="1"/>
    <col min="14594" max="14595" width="9.21875" style="23" customWidth="1"/>
    <col min="14596" max="14597" width="8.77734375" style="23"/>
    <col min="14598" max="14598" width="7.77734375" style="23" customWidth="1"/>
    <col min="14599" max="14599" width="8.77734375" style="23"/>
    <col min="14600" max="14600" width="11.77734375" style="23" customWidth="1"/>
    <col min="14601" max="14601" width="8.44140625" style="23" bestFit="1" customWidth="1"/>
    <col min="14602" max="14602" width="12" style="23" bestFit="1" customWidth="1"/>
    <col min="14603" max="14603" width="12.5546875" style="23" bestFit="1" customWidth="1"/>
    <col min="14604" max="14604" width="12" style="23" bestFit="1" customWidth="1"/>
    <col min="14605" max="14608" width="8.77734375" style="23"/>
    <col min="14609" max="14609" width="10.21875" style="23" customWidth="1"/>
    <col min="14610" max="14848" width="8.77734375" style="23"/>
    <col min="14849" max="14849" width="13.77734375" style="23" customWidth="1"/>
    <col min="14850" max="14851" width="9.21875" style="23" customWidth="1"/>
    <col min="14852" max="14853" width="8.77734375" style="23"/>
    <col min="14854" max="14854" width="7.77734375" style="23" customWidth="1"/>
    <col min="14855" max="14855" width="8.77734375" style="23"/>
    <col min="14856" max="14856" width="11.77734375" style="23" customWidth="1"/>
    <col min="14857" max="14857" width="8.44140625" style="23" bestFit="1" customWidth="1"/>
    <col min="14858" max="14858" width="12" style="23" bestFit="1" customWidth="1"/>
    <col min="14859" max="14859" width="12.5546875" style="23" bestFit="1" customWidth="1"/>
    <col min="14860" max="14860" width="12" style="23" bestFit="1" customWidth="1"/>
    <col min="14861" max="14864" width="8.77734375" style="23"/>
    <col min="14865" max="14865" width="10.21875" style="23" customWidth="1"/>
    <col min="14866" max="15104" width="8.77734375" style="23"/>
    <col min="15105" max="15105" width="13.77734375" style="23" customWidth="1"/>
    <col min="15106" max="15107" width="9.21875" style="23" customWidth="1"/>
    <col min="15108" max="15109" width="8.77734375" style="23"/>
    <col min="15110" max="15110" width="7.77734375" style="23" customWidth="1"/>
    <col min="15111" max="15111" width="8.77734375" style="23"/>
    <col min="15112" max="15112" width="11.77734375" style="23" customWidth="1"/>
    <col min="15113" max="15113" width="8.44140625" style="23" bestFit="1" customWidth="1"/>
    <col min="15114" max="15114" width="12" style="23" bestFit="1" customWidth="1"/>
    <col min="15115" max="15115" width="12.5546875" style="23" bestFit="1" customWidth="1"/>
    <col min="15116" max="15116" width="12" style="23" bestFit="1" customWidth="1"/>
    <col min="15117" max="15120" width="8.77734375" style="23"/>
    <col min="15121" max="15121" width="10.21875" style="23" customWidth="1"/>
    <col min="15122" max="15360" width="8.77734375" style="23"/>
    <col min="15361" max="15361" width="13.77734375" style="23" customWidth="1"/>
    <col min="15362" max="15363" width="9.21875" style="23" customWidth="1"/>
    <col min="15364" max="15365" width="8.77734375" style="23"/>
    <col min="15366" max="15366" width="7.77734375" style="23" customWidth="1"/>
    <col min="15367" max="15367" width="8.77734375" style="23"/>
    <col min="15368" max="15368" width="11.77734375" style="23" customWidth="1"/>
    <col min="15369" max="15369" width="8.44140625" style="23" bestFit="1" customWidth="1"/>
    <col min="15370" max="15370" width="12" style="23" bestFit="1" customWidth="1"/>
    <col min="15371" max="15371" width="12.5546875" style="23" bestFit="1" customWidth="1"/>
    <col min="15372" max="15372" width="12" style="23" bestFit="1" customWidth="1"/>
    <col min="15373" max="15376" width="8.77734375" style="23"/>
    <col min="15377" max="15377" width="10.21875" style="23" customWidth="1"/>
    <col min="15378" max="15616" width="8.77734375" style="23"/>
    <col min="15617" max="15617" width="13.77734375" style="23" customWidth="1"/>
    <col min="15618" max="15619" width="9.21875" style="23" customWidth="1"/>
    <col min="15620" max="15621" width="8.77734375" style="23"/>
    <col min="15622" max="15622" width="7.77734375" style="23" customWidth="1"/>
    <col min="15623" max="15623" width="8.77734375" style="23"/>
    <col min="15624" max="15624" width="11.77734375" style="23" customWidth="1"/>
    <col min="15625" max="15625" width="8.44140625" style="23" bestFit="1" customWidth="1"/>
    <col min="15626" max="15626" width="12" style="23" bestFit="1" customWidth="1"/>
    <col min="15627" max="15627" width="12.5546875" style="23" bestFit="1" customWidth="1"/>
    <col min="15628" max="15628" width="12" style="23" bestFit="1" customWidth="1"/>
    <col min="15629" max="15632" width="8.77734375" style="23"/>
    <col min="15633" max="15633" width="10.21875" style="23" customWidth="1"/>
    <col min="15634" max="15872" width="8.77734375" style="23"/>
    <col min="15873" max="15873" width="13.77734375" style="23" customWidth="1"/>
    <col min="15874" max="15875" width="9.21875" style="23" customWidth="1"/>
    <col min="15876" max="15877" width="8.77734375" style="23"/>
    <col min="15878" max="15878" width="7.77734375" style="23" customWidth="1"/>
    <col min="15879" max="15879" width="8.77734375" style="23"/>
    <col min="15880" max="15880" width="11.77734375" style="23" customWidth="1"/>
    <col min="15881" max="15881" width="8.44140625" style="23" bestFit="1" customWidth="1"/>
    <col min="15882" max="15882" width="12" style="23" bestFit="1" customWidth="1"/>
    <col min="15883" max="15883" width="12.5546875" style="23" bestFit="1" customWidth="1"/>
    <col min="15884" max="15884" width="12" style="23" bestFit="1" customWidth="1"/>
    <col min="15885" max="15888" width="8.77734375" style="23"/>
    <col min="15889" max="15889" width="10.21875" style="23" customWidth="1"/>
    <col min="15890" max="16128" width="8.77734375" style="23"/>
    <col min="16129" max="16129" width="13.77734375" style="23" customWidth="1"/>
    <col min="16130" max="16131" width="9.21875" style="23" customWidth="1"/>
    <col min="16132" max="16133" width="8.77734375" style="23"/>
    <col min="16134" max="16134" width="7.77734375" style="23" customWidth="1"/>
    <col min="16135" max="16135" width="8.77734375" style="23"/>
    <col min="16136" max="16136" width="11.77734375" style="23" customWidth="1"/>
    <col min="16137" max="16137" width="8.44140625" style="23" bestFit="1" customWidth="1"/>
    <col min="16138" max="16138" width="12" style="23" bestFit="1" customWidth="1"/>
    <col min="16139" max="16139" width="12.5546875" style="23" bestFit="1" customWidth="1"/>
    <col min="16140" max="16140" width="12" style="23" bestFit="1" customWidth="1"/>
    <col min="16141" max="16144" width="8.77734375" style="23"/>
    <col min="16145" max="16145" width="10.21875" style="23" customWidth="1"/>
    <col min="16146" max="16384" width="8.77734375" style="23"/>
  </cols>
  <sheetData>
    <row r="1" spans="1:256" ht="45" x14ac:dyDescent="0.75">
      <c r="A1" s="21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56" ht="13.8" thickBot="1" x14ac:dyDescent="0.3">
      <c r="A2" s="24"/>
      <c r="B2" s="24"/>
      <c r="C2" s="24"/>
      <c r="D2" s="24"/>
      <c r="E2" s="24"/>
      <c r="F2" s="24"/>
      <c r="G2" s="24"/>
      <c r="H2" s="26" t="s">
        <v>34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</row>
    <row r="3" spans="1:256" x14ac:dyDescent="0.25">
      <c r="A3" s="27" t="s">
        <v>35</v>
      </c>
      <c r="B3" s="28"/>
      <c r="C3" s="25"/>
      <c r="D3" s="29"/>
      <c r="E3" s="30" t="s">
        <v>36</v>
      </c>
      <c r="F3" s="31" t="s">
        <v>37</v>
      </c>
      <c r="H3" s="32" t="s">
        <v>38</v>
      </c>
      <c r="I3" s="33" t="s">
        <v>39</v>
      </c>
      <c r="J3" s="33" t="s">
        <v>40</v>
      </c>
      <c r="K3" s="33" t="s">
        <v>41</v>
      </c>
      <c r="L3" s="34" t="s">
        <v>42</v>
      </c>
      <c r="M3" s="22"/>
      <c r="N3" s="22"/>
      <c r="O3" s="22"/>
      <c r="P3" s="22"/>
    </row>
    <row r="4" spans="1:256" ht="13.8" thickBot="1" x14ac:dyDescent="0.3">
      <c r="A4" s="35" t="s">
        <v>43</v>
      </c>
      <c r="B4" s="36">
        <v>2000</v>
      </c>
      <c r="D4" s="37" t="s">
        <v>44</v>
      </c>
      <c r="E4" s="22">
        <f>IF(ISBLANK(DividendYield),SpotPrice*J4-(B5*EXP(-RiskFreeRate*TimeToMaturity))*J4, EXP(-DividendYield * TimeToMaturity) * (SpotPrice * J4) - (B5 * EXP(-RiskFreeRate * TimeToMaturity) * K4))</f>
        <v>270.09154880886013</v>
      </c>
      <c r="F4" s="36">
        <f>IF(ISBLANK(DividendYield),EXP(-RiskFreeRate * TimeToMaturity) * B5 * (1 - K4) - SpotPrice * (1 - J4),EXP(-RiskFreeRate * TimeToMaturity) * B5 * NORMSDIST(-I4) - EXP(-DividendYield * TimeToMaturity) * SpotPrice * NORMSDIST(-H4))</f>
        <v>71.71131140296194</v>
      </c>
      <c r="H4" s="38">
        <f>IF(ISBLANK(DividendYield),LN(SpotPrice/B5)+((RiskFreeRate + (0.5*(sigma^2)))*TimeToMaturity),LN(SpotPrice/B5)+((RiskFreeRate -DividendYield+ (0.5*(sigma^2)))*TimeToMaturity))/(sigma*TimeToMaturity^0.5)</f>
        <v>0.63070763825816656</v>
      </c>
      <c r="I4" s="39">
        <f>H4-sigma*TimeToMaturity^0.5</f>
        <v>0.41857560390220228</v>
      </c>
      <c r="J4" s="39">
        <f>NORMSDIST(H4)</f>
        <v>0.7358841480817957</v>
      </c>
      <c r="K4" s="39">
        <f>NORMSDIST(I4)</f>
        <v>0.66223683894374163</v>
      </c>
      <c r="L4" s="40">
        <f>1/(2*PI())^0.5*(EXP(-(H4^2)/2))</f>
        <v>0.32698708781026509</v>
      </c>
      <c r="M4" s="22"/>
      <c r="N4" s="22"/>
      <c r="O4" s="22"/>
      <c r="P4" s="22"/>
    </row>
    <row r="5" spans="1:256" x14ac:dyDescent="0.25">
      <c r="A5" s="35" t="s">
        <v>45</v>
      </c>
      <c r="B5" s="41">
        <v>1900</v>
      </c>
      <c r="D5" s="37" t="s">
        <v>46</v>
      </c>
      <c r="E5" s="22">
        <f xml:space="preserve"> J4*EXP(-DividendYield * TimeToMaturity)</f>
        <v>0.69302959149029453</v>
      </c>
      <c r="F5" s="36">
        <f>(J4 - 1) * EXP(-DividendYield * TimeToMaturity)</f>
        <v>-0.24873494209395416</v>
      </c>
      <c r="M5" s="22"/>
      <c r="N5" s="22"/>
      <c r="O5" s="22"/>
      <c r="P5" s="22"/>
    </row>
    <row r="6" spans="1:256" x14ac:dyDescent="0.25">
      <c r="A6" s="35" t="s">
        <v>47</v>
      </c>
      <c r="B6" s="36">
        <v>0.06</v>
      </c>
      <c r="D6" s="37" t="s">
        <v>48</v>
      </c>
      <c r="E6" s="22">
        <f xml:space="preserve"> (L4 * EXP(-DividendYield * TimeToMaturity)) / (SpotPrice * sigma * (TimeToMaturity ^ (1 / 2)))</f>
        <v>7.2583295393039251E-4</v>
      </c>
      <c r="F6" s="36">
        <f>E6</f>
        <v>7.2583295393039251E-4</v>
      </c>
      <c r="M6" s="22"/>
      <c r="N6" s="22"/>
      <c r="O6" s="22"/>
      <c r="P6" s="22"/>
    </row>
    <row r="7" spans="1:256" x14ac:dyDescent="0.25">
      <c r="A7" s="35" t="s">
        <v>49</v>
      </c>
      <c r="B7" s="36">
        <v>0.15</v>
      </c>
      <c r="D7" s="37" t="s">
        <v>50</v>
      </c>
      <c r="E7" s="22">
        <f xml:space="preserve"> SpotPrice * (TimeToMaturity ^ (1 / 2)) * L4 * EXP(-DividendYield * TimeToMaturity)</f>
        <v>870.99954471647095</v>
      </c>
      <c r="F7" s="36">
        <f>E7</f>
        <v>870.99954471647095</v>
      </c>
      <c r="M7" s="22"/>
      <c r="N7" s="22"/>
      <c r="O7" s="22"/>
      <c r="P7" s="22"/>
    </row>
    <row r="8" spans="1:256" ht="13.8" thickBot="1" x14ac:dyDescent="0.3">
      <c r="A8" s="35" t="s">
        <v>51</v>
      </c>
      <c r="B8" s="36">
        <v>0.03</v>
      </c>
      <c r="D8" s="42" t="s">
        <v>52</v>
      </c>
      <c r="E8" s="43">
        <f>-(SpotPrice * L4 * sigma * EXP(-DividendYield * TimeToMaturity)) / (2 * (TimeToMaturity ^ (1 / 2))) + (DividendYield * SpotPrice * J4 * EXP(-DividendYield * TimeToMaturity)) - (RiskFreeRate * B5 * EXP(-RiskFreeRate * TimeToMaturity) * K4)</f>
        <v>-58.038765487753736</v>
      </c>
      <c r="F8" s="44">
        <f>-(SpotPrice * L4 * sigma * EXP(-DividendYield * TimeToMaturity)) / (2 * (TimeToMaturity ^ (1 / 2))) - (DividendYield * SpotPrice * NORMSDIST(-H4) * EXP(-DividendYield * TimeToMaturity)) + (RiskFreeRate * B5 * EXP(-RiskFreeRate * TimeToMaturity) * NORMSDIST(-I4))</f>
        <v>-13.435707717052694</v>
      </c>
    </row>
    <row r="9" spans="1:256" ht="13.8" thickBot="1" x14ac:dyDescent="0.3">
      <c r="A9" s="45" t="s">
        <v>53</v>
      </c>
      <c r="B9" s="44">
        <v>2</v>
      </c>
      <c r="D9" s="46"/>
    </row>
    <row r="11" spans="1:256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</row>
    <row r="12" spans="1:256" s="22" customFormat="1" x14ac:dyDescent="0.25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256" s="22" customFormat="1" x14ac:dyDescent="0.25"/>
    <row r="14" spans="1:256" s="22" customFormat="1" x14ac:dyDescent="0.25">
      <c r="A14" s="49"/>
    </row>
    <row r="15" spans="1:256" s="22" customFormat="1" x14ac:dyDescent="0.25">
      <c r="A15" s="49"/>
    </row>
    <row r="16" spans="1:256" s="22" customFormat="1" x14ac:dyDescent="0.25">
      <c r="A16" s="49"/>
    </row>
    <row r="17" spans="1:11" s="22" customFormat="1" x14ac:dyDescent="0.25">
      <c r="A17" s="49"/>
    </row>
    <row r="18" spans="1:11" s="22" customFormat="1" x14ac:dyDescent="0.25"/>
    <row r="19" spans="1:11" x14ac:dyDescent="0.25">
      <c r="E19" s="22"/>
      <c r="F19" s="22"/>
      <c r="G19" s="22"/>
      <c r="H19" s="22"/>
      <c r="I19" s="22"/>
      <c r="J19" s="22"/>
      <c r="K19" s="22"/>
    </row>
    <row r="28" spans="1:11" x14ac:dyDescent="0.25">
      <c r="A28" s="46"/>
      <c r="F28" s="50"/>
      <c r="G28" s="50"/>
      <c r="H28" s="50"/>
      <c r="I28" s="50"/>
      <c r="J28" s="50"/>
    </row>
    <row r="29" spans="1:11" ht="14.4" x14ac:dyDescent="0.3">
      <c r="A29" s="46"/>
      <c r="H29" s="51"/>
      <c r="I29" s="51"/>
      <c r="J29" s="51"/>
    </row>
    <row r="30" spans="1:11" ht="14.4" x14ac:dyDescent="0.3">
      <c r="A30" s="46"/>
      <c r="H30" s="51"/>
      <c r="I30" s="51"/>
      <c r="J30" s="51"/>
    </row>
    <row r="31" spans="1:11" ht="14.4" x14ac:dyDescent="0.3">
      <c r="A31" s="46"/>
      <c r="G31" s="52"/>
      <c r="H31" s="51"/>
      <c r="I31" s="51"/>
      <c r="J31" s="51"/>
    </row>
    <row r="32" spans="1:11" ht="14.4" x14ac:dyDescent="0.3">
      <c r="A32" s="46"/>
      <c r="G32" s="52"/>
      <c r="H32" s="52"/>
      <c r="J32" s="53"/>
    </row>
    <row r="33" spans="1:10" ht="14.4" x14ac:dyDescent="0.3">
      <c r="A33" s="46"/>
      <c r="F33" s="50"/>
      <c r="G33" s="50"/>
      <c r="H33" s="50"/>
      <c r="I33" s="50"/>
      <c r="J33" s="53"/>
    </row>
    <row r="34" spans="1:10" ht="14.4" x14ac:dyDescent="0.3">
      <c r="A34" s="46"/>
      <c r="J34" s="53"/>
    </row>
    <row r="35" spans="1:10" x14ac:dyDescent="0.25">
      <c r="A35" s="46"/>
    </row>
    <row r="37" spans="1:10" x14ac:dyDescent="0.25">
      <c r="F37" s="50"/>
      <c r="G37" s="50"/>
      <c r="H37" s="50"/>
      <c r="I37" s="50"/>
    </row>
    <row r="38" spans="1:10" ht="14.4" x14ac:dyDescent="0.3">
      <c r="H38" s="53"/>
    </row>
    <row r="39" spans="1:10" ht="14.4" x14ac:dyDescent="0.3">
      <c r="H39" s="53"/>
    </row>
    <row r="40" spans="1:10" ht="14.4" x14ac:dyDescent="0.3">
      <c r="G40" s="52"/>
      <c r="H40" s="53"/>
    </row>
    <row r="41" spans="1:10" ht="14.4" x14ac:dyDescent="0.3">
      <c r="H41" s="53"/>
    </row>
    <row r="42" spans="1:10" x14ac:dyDescent="0.25">
      <c r="F42" s="50"/>
      <c r="G42" s="50"/>
      <c r="H42" s="54"/>
    </row>
    <row r="44" spans="1:10" x14ac:dyDescent="0.25">
      <c r="F44" s="50"/>
      <c r="H44" s="55"/>
    </row>
    <row r="45" spans="1:10" x14ac:dyDescent="0.25">
      <c r="F45" s="50"/>
    </row>
    <row r="47" spans="1:10" x14ac:dyDescent="0.25">
      <c r="E47" s="50"/>
      <c r="F47" s="50"/>
    </row>
    <row r="48" spans="1:10" x14ac:dyDescent="0.25">
      <c r="F48" s="50"/>
    </row>
    <row r="49" spans="6:6" x14ac:dyDescent="0.25">
      <c r="F49" s="50"/>
    </row>
    <row r="51" spans="6:6" x14ac:dyDescent="0.25">
      <c r="F51" s="50"/>
    </row>
    <row r="52" spans="6:6" x14ac:dyDescent="0.25">
      <c r="F52" s="50"/>
    </row>
    <row r="53" spans="6:6" x14ac:dyDescent="0.25">
      <c r="F53" s="50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</sheetPr>
  <dimension ref="B2:W53"/>
  <sheetViews>
    <sheetView showGridLines="0" zoomScale="80" zoomScaleNormal="80" workbookViewId="0">
      <selection activeCell="G1" sqref="G1"/>
    </sheetView>
  </sheetViews>
  <sheetFormatPr defaultColWidth="8.77734375" defaultRowHeight="10.199999999999999" x14ac:dyDescent="0.2"/>
  <cols>
    <col min="1" max="1" width="8.77734375" style="1"/>
    <col min="2" max="2" width="13.21875" style="1" customWidth="1"/>
    <col min="3" max="3" width="14.88671875" style="1" customWidth="1"/>
    <col min="4" max="4" width="11.77734375" style="1" bestFit="1" customWidth="1"/>
    <col min="5" max="5" width="8.77734375" style="1"/>
    <col min="6" max="6" width="16.77734375" style="1" customWidth="1"/>
    <col min="7" max="7" width="8.5546875" style="1" customWidth="1"/>
    <col min="8" max="8" width="15.5546875" style="1" customWidth="1"/>
    <col min="9" max="9" width="10" style="1" customWidth="1"/>
    <col min="10" max="10" width="4.5546875" style="1" customWidth="1"/>
    <col min="11" max="12" width="8.77734375" style="1"/>
    <col min="13" max="13" width="12.5546875" style="1" customWidth="1"/>
    <col min="14" max="14" width="8.77734375" style="1"/>
    <col min="15" max="15" width="29.21875" style="1" customWidth="1"/>
    <col min="16" max="16384" width="8.77734375" style="1"/>
  </cols>
  <sheetData>
    <row r="2" spans="2:8" ht="13.2" x14ac:dyDescent="0.25">
      <c r="B2" s="109" t="s">
        <v>242</v>
      </c>
    </row>
    <row r="4" spans="2:8" s="78" customFormat="1" x14ac:dyDescent="0.2">
      <c r="B4" s="76" t="s">
        <v>209</v>
      </c>
    </row>
    <row r="6" spans="2:8" x14ac:dyDescent="0.2">
      <c r="B6" s="1" t="s">
        <v>173</v>
      </c>
    </row>
    <row r="7" spans="2:8" x14ac:dyDescent="0.2">
      <c r="B7" s="1" t="s">
        <v>174</v>
      </c>
      <c r="C7" s="6">
        <v>44671</v>
      </c>
      <c r="D7" s="6"/>
    </row>
    <row r="8" spans="2:8" x14ac:dyDescent="0.2">
      <c r="B8" s="1" t="s">
        <v>17</v>
      </c>
      <c r="C8" s="6">
        <v>44835</v>
      </c>
      <c r="D8" s="6"/>
    </row>
    <row r="9" spans="2:8" x14ac:dyDescent="0.2">
      <c r="B9" s="1" t="s">
        <v>21</v>
      </c>
      <c r="C9" s="1">
        <v>100</v>
      </c>
    </row>
    <row r="10" spans="2:8" x14ac:dyDescent="0.2">
      <c r="B10" s="1" t="s">
        <v>54</v>
      </c>
      <c r="C10" s="20">
        <v>2.5000000000000001E-2</v>
      </c>
      <c r="D10" s="20"/>
    </row>
    <row r="11" spans="2:8" x14ac:dyDescent="0.2">
      <c r="B11" s="1" t="s">
        <v>56</v>
      </c>
      <c r="C11" s="1" t="s">
        <v>182</v>
      </c>
    </row>
    <row r="14" spans="2:8" x14ac:dyDescent="0.2">
      <c r="C14" s="1" t="s">
        <v>252</v>
      </c>
      <c r="E14" s="1" t="s">
        <v>251</v>
      </c>
    </row>
    <row r="15" spans="2:8" s="65" customFormat="1" ht="20.399999999999999" x14ac:dyDescent="0.3">
      <c r="C15" s="65" t="s">
        <v>171</v>
      </c>
      <c r="D15" s="65" t="s">
        <v>200</v>
      </c>
      <c r="E15" s="65" t="s">
        <v>172</v>
      </c>
      <c r="F15" s="66" t="s">
        <v>175</v>
      </c>
      <c r="G15" s="66"/>
      <c r="H15" s="66"/>
    </row>
    <row r="16" spans="2:8" x14ac:dyDescent="0.2">
      <c r="B16" s="6">
        <v>44671</v>
      </c>
      <c r="F16" s="4"/>
      <c r="G16" s="4"/>
      <c r="H16" s="4"/>
    </row>
    <row r="17" spans="2:11" x14ac:dyDescent="0.2">
      <c r="B17" s="6">
        <v>44682</v>
      </c>
      <c r="C17" s="2">
        <f>$C$9*D17/100*(B17-B16)/365</f>
        <v>2.4208739726027398E-2</v>
      </c>
      <c r="D17" s="59">
        <f>VLOOKUP(B17,'LIBOR USD'!B:I,5)</f>
        <v>0.80328999999999995</v>
      </c>
      <c r="E17" s="2">
        <f t="shared" ref="E17:E22" si="0">$C$9*$C$10*(B17-B16)/365</f>
        <v>7.5342465753424653E-2</v>
      </c>
      <c r="F17" s="62">
        <f>C17-E17</f>
        <v>-5.1133726027397255E-2</v>
      </c>
      <c r="G17" s="62"/>
      <c r="H17" s="62"/>
    </row>
    <row r="18" spans="2:11" x14ac:dyDescent="0.2">
      <c r="B18" s="6">
        <v>44713</v>
      </c>
      <c r="C18" s="2">
        <f t="shared" ref="C18:C22" si="1">$C$9*D18/100*(B18-B17)/365</f>
        <v>9.5098657534246581E-2</v>
      </c>
      <c r="D18" s="59">
        <f>VLOOKUP(B18,'LIBOR USD'!B:I,5)</f>
        <v>1.11971</v>
      </c>
      <c r="E18" s="2">
        <f t="shared" si="0"/>
        <v>0.21232876712328766</v>
      </c>
      <c r="F18" s="62">
        <f t="shared" ref="F18:F22" si="2">C18-E18</f>
        <v>-0.11723010958904108</v>
      </c>
      <c r="G18" s="62"/>
      <c r="H18" s="62"/>
    </row>
    <row r="19" spans="2:11" x14ac:dyDescent="0.2">
      <c r="B19" s="6">
        <v>44743</v>
      </c>
      <c r="C19" s="2">
        <f t="shared" si="1"/>
        <v>0.14774547945205477</v>
      </c>
      <c r="D19" s="59">
        <f>VLOOKUP(B19,'LIBOR USD'!B:I,5)</f>
        <v>1.7975699999999999</v>
      </c>
      <c r="E19" s="2">
        <f t="shared" si="0"/>
        <v>0.20547945205479451</v>
      </c>
      <c r="F19" s="62">
        <f t="shared" si="2"/>
        <v>-5.7733972602739742E-2</v>
      </c>
      <c r="G19" s="62"/>
      <c r="H19" s="62"/>
    </row>
    <row r="20" spans="2:11" x14ac:dyDescent="0.2">
      <c r="B20" s="6">
        <v>44774</v>
      </c>
      <c r="C20" s="2">
        <f t="shared" si="1"/>
        <v>0.20102098630136986</v>
      </c>
      <c r="D20" s="59">
        <f>VLOOKUP(B20,'LIBOR USD'!B:I,5)</f>
        <v>2.36686</v>
      </c>
      <c r="E20" s="2">
        <f t="shared" si="0"/>
        <v>0.21232876712328766</v>
      </c>
      <c r="F20" s="62">
        <f t="shared" si="2"/>
        <v>-1.1307780821917801E-2</v>
      </c>
      <c r="G20" s="62"/>
      <c r="H20" s="62"/>
    </row>
    <row r="21" spans="2:11" x14ac:dyDescent="0.2">
      <c r="B21" s="6">
        <v>44805</v>
      </c>
      <c r="C21" s="2">
        <f t="shared" si="1"/>
        <v>0.22364928767123288</v>
      </c>
      <c r="D21" s="59">
        <f>VLOOKUP(B21,'LIBOR USD'!B:I,5)</f>
        <v>2.6332900000000001</v>
      </c>
      <c r="E21" s="2">
        <f t="shared" si="0"/>
        <v>0.21232876712328766</v>
      </c>
      <c r="F21" s="62">
        <f t="shared" si="2"/>
        <v>1.1320520547945218E-2</v>
      </c>
      <c r="G21" s="62"/>
      <c r="H21" s="62"/>
    </row>
    <row r="22" spans="2:11" x14ac:dyDescent="0.2">
      <c r="B22" s="6">
        <v>44835</v>
      </c>
      <c r="C22" s="2">
        <f t="shared" si="1"/>
        <v>0.21827753424657539</v>
      </c>
      <c r="D22" s="59">
        <f>VLOOKUP(B22,'LIBOR USD'!B:I,5)</f>
        <v>2.65571</v>
      </c>
      <c r="E22" s="2">
        <f t="shared" si="0"/>
        <v>0.20547945205479451</v>
      </c>
      <c r="F22" s="62">
        <f t="shared" si="2"/>
        <v>1.2798082191780885E-2</v>
      </c>
      <c r="G22" s="62"/>
      <c r="H22" s="62"/>
    </row>
    <row r="23" spans="2:11" x14ac:dyDescent="0.2">
      <c r="B23" s="63" t="s">
        <v>212</v>
      </c>
      <c r="C23" s="63"/>
      <c r="D23" s="63"/>
      <c r="E23" s="63"/>
      <c r="F23" s="64">
        <f>SUM(F17:F22)</f>
        <v>-0.21328698630136977</v>
      </c>
      <c r="G23" s="64"/>
      <c r="H23" s="64"/>
    </row>
    <row r="26" spans="2:11" s="76" customFormat="1" x14ac:dyDescent="0.2">
      <c r="B26" s="76" t="s">
        <v>176</v>
      </c>
      <c r="J26" s="77"/>
      <c r="K26" s="77"/>
    </row>
    <row r="28" spans="2:11" x14ac:dyDescent="0.2">
      <c r="B28" s="1" t="s">
        <v>173</v>
      </c>
    </row>
    <row r="29" spans="2:11" x14ac:dyDescent="0.2">
      <c r="B29" s="1" t="s">
        <v>174</v>
      </c>
      <c r="C29" s="6">
        <v>44671</v>
      </c>
      <c r="D29" s="6"/>
    </row>
    <row r="30" spans="2:11" x14ac:dyDescent="0.2">
      <c r="B30" s="1" t="s">
        <v>17</v>
      </c>
      <c r="C30" s="6">
        <v>44679</v>
      </c>
      <c r="D30" s="6"/>
    </row>
    <row r="31" spans="2:11" x14ac:dyDescent="0.2">
      <c r="B31" s="1" t="s">
        <v>21</v>
      </c>
      <c r="C31" s="1">
        <f>C9</f>
        <v>100</v>
      </c>
    </row>
    <row r="32" spans="2:11" x14ac:dyDescent="0.2">
      <c r="B32" s="1" t="s">
        <v>54</v>
      </c>
      <c r="C32" s="20">
        <f t="shared" ref="C32:C33" si="3">C10</f>
        <v>2.5000000000000001E-2</v>
      </c>
      <c r="D32" s="20"/>
    </row>
    <row r="33" spans="2:23" x14ac:dyDescent="0.2">
      <c r="B33" s="1" t="s">
        <v>56</v>
      </c>
      <c r="C33" s="1" t="str">
        <f t="shared" si="3"/>
        <v>Libor 1m</v>
      </c>
    </row>
    <row r="36" spans="2:23" ht="14.4" customHeight="1" x14ac:dyDescent="0.2">
      <c r="C36" s="123" t="s">
        <v>203</v>
      </c>
      <c r="D36" s="123" t="s">
        <v>204</v>
      </c>
      <c r="E36" s="123" t="s">
        <v>205</v>
      </c>
      <c r="F36" s="123" t="s">
        <v>248</v>
      </c>
      <c r="G36" s="123" t="s">
        <v>249</v>
      </c>
      <c r="H36" s="123" t="s">
        <v>250</v>
      </c>
      <c r="J36" s="124"/>
      <c r="K36" s="141" t="s">
        <v>201</v>
      </c>
      <c r="L36" s="142"/>
      <c r="M36" s="124" t="s">
        <v>202</v>
      </c>
      <c r="N36" s="110"/>
      <c r="O36" s="110"/>
      <c r="P36" s="110"/>
      <c r="Q36" s="110"/>
      <c r="R36" s="110"/>
      <c r="S36" s="110"/>
      <c r="T36" s="110"/>
      <c r="U36" s="110"/>
      <c r="V36" s="110"/>
      <c r="W36" s="111"/>
    </row>
    <row r="37" spans="2:23" s="71" customFormat="1" ht="40.799999999999997" x14ac:dyDescent="0.3">
      <c r="C37" s="71" t="s">
        <v>193</v>
      </c>
      <c r="D37" s="71" t="s">
        <v>171</v>
      </c>
      <c r="E37" s="71" t="s">
        <v>172</v>
      </c>
      <c r="F37" s="71" t="s">
        <v>197</v>
      </c>
      <c r="G37" s="71" t="s">
        <v>187</v>
      </c>
      <c r="H37" s="67" t="s">
        <v>198</v>
      </c>
      <c r="J37" s="112"/>
      <c r="K37" s="113" t="s">
        <v>188</v>
      </c>
      <c r="L37" s="114" t="s">
        <v>189</v>
      </c>
      <c r="M37" s="112" t="s">
        <v>190</v>
      </c>
      <c r="N37" s="113"/>
      <c r="O37" s="113" t="s">
        <v>192</v>
      </c>
      <c r="P37" s="113"/>
      <c r="Q37" s="113"/>
      <c r="R37" s="113"/>
      <c r="S37" s="113"/>
      <c r="T37" s="113"/>
      <c r="U37" s="113"/>
      <c r="V37" s="113"/>
      <c r="W37" s="114"/>
    </row>
    <row r="38" spans="2:23" x14ac:dyDescent="0.2">
      <c r="B38" s="6">
        <v>44679</v>
      </c>
      <c r="H38" s="4"/>
      <c r="J38" s="10"/>
      <c r="K38" s="115"/>
      <c r="L38" s="116"/>
      <c r="M38" s="10"/>
      <c r="N38" s="115"/>
      <c r="O38" s="115"/>
      <c r="P38" s="115"/>
      <c r="Q38" s="115"/>
      <c r="R38" s="115"/>
      <c r="S38" s="115"/>
      <c r="T38" s="115"/>
      <c r="U38" s="115"/>
      <c r="V38" s="115"/>
      <c r="W38" s="116"/>
    </row>
    <row r="39" spans="2:23" x14ac:dyDescent="0.2">
      <c r="B39" s="6">
        <v>44682</v>
      </c>
      <c r="C39" s="59">
        <f>VLOOKUP(B38,'LIBOR USD'!B:I,5,TRUE)</f>
        <v>0.8</v>
      </c>
      <c r="D39" s="2">
        <f t="shared" ref="D39:D44" si="4">$C$9*C39/100*(B39-B38)/365</f>
        <v>6.5753424657534259E-3</v>
      </c>
      <c r="E39" s="2">
        <f t="shared" ref="E39:E44" si="5">$C$9*$C$10*(B39-B38)/365</f>
        <v>2.0547945205479451E-2</v>
      </c>
      <c r="F39" s="61">
        <f t="shared" ref="F39:F44" si="6">D39-E39</f>
        <v>-1.3972602739726024E-2</v>
      </c>
      <c r="G39" s="7">
        <f t="shared" ref="G39:G44" si="7">EXP(-L39/100*(B39-$B$39)/365)</f>
        <v>1</v>
      </c>
      <c r="H39" s="60">
        <f t="shared" ref="H39:H44" si="8">F39*G39</f>
        <v>-1.3972602739726024E-2</v>
      </c>
      <c r="J39" s="10" t="s">
        <v>183</v>
      </c>
      <c r="K39" s="136">
        <f t="shared" ref="K39:K44" si="9">(B39-$B$39)/365</f>
        <v>0</v>
      </c>
      <c r="L39" s="137">
        <f>C39</f>
        <v>0.8</v>
      </c>
      <c r="M39" s="117">
        <f>L39</f>
        <v>0.8</v>
      </c>
      <c r="N39" s="115"/>
      <c r="O39" s="115"/>
      <c r="P39" s="115"/>
      <c r="Q39" s="115"/>
      <c r="R39" s="115"/>
      <c r="S39" s="115"/>
      <c r="T39" s="115"/>
      <c r="U39" s="115"/>
      <c r="V39" s="115"/>
      <c r="W39" s="116"/>
    </row>
    <row r="40" spans="2:23" x14ac:dyDescent="0.2">
      <c r="B40" s="6">
        <v>44713</v>
      </c>
      <c r="C40" s="59">
        <f>(365/(B40-B39))*(EXP(M40/(365/(B40-B39)))-1)</f>
        <v>1.0905911577355241</v>
      </c>
      <c r="D40" s="2">
        <f t="shared" si="4"/>
        <v>9.2625550383017119E-2</v>
      </c>
      <c r="E40" s="2">
        <f t="shared" si="5"/>
        <v>0.21232876712328766</v>
      </c>
      <c r="F40" s="61">
        <f t="shared" si="6"/>
        <v>-0.11970321674027054</v>
      </c>
      <c r="G40" s="7">
        <f t="shared" si="7"/>
        <v>0.99911455662010373</v>
      </c>
      <c r="H40" s="60">
        <f t="shared" si="8"/>
        <v>-0.11959722631945557</v>
      </c>
      <c r="J40" s="10" t="s">
        <v>179</v>
      </c>
      <c r="K40" s="136">
        <f t="shared" si="9"/>
        <v>8.4931506849315067E-2</v>
      </c>
      <c r="L40" s="137">
        <f>'LIBOR USD'!L30</f>
        <v>1.0430000000000001</v>
      </c>
      <c r="M40" s="117">
        <f>(L40*K40-L39*K39)/(K40-K39)</f>
        <v>1.0430000000000001</v>
      </c>
      <c r="N40" s="115"/>
      <c r="O40" s="115"/>
      <c r="P40" s="115"/>
      <c r="Q40" s="115"/>
      <c r="R40" s="115"/>
      <c r="S40" s="115"/>
      <c r="T40" s="115"/>
      <c r="U40" s="115"/>
      <c r="V40" s="115"/>
      <c r="W40" s="116"/>
    </row>
    <row r="41" spans="2:23" x14ac:dyDescent="0.2">
      <c r="B41" s="6">
        <v>44743</v>
      </c>
      <c r="C41" s="59">
        <f>(365/(B41-B40))*(EXP(M41/(365/(B41-B40)))-1)</f>
        <v>1.638417721341773</v>
      </c>
      <c r="D41" s="2">
        <f t="shared" si="4"/>
        <v>0.13466447024726902</v>
      </c>
      <c r="E41" s="2">
        <f t="shared" si="5"/>
        <v>0.20547945205479451</v>
      </c>
      <c r="F41" s="61">
        <f t="shared" si="6"/>
        <v>-7.081498180752549E-2</v>
      </c>
      <c r="G41" s="7">
        <f t="shared" si="7"/>
        <v>0.99785310240897285</v>
      </c>
      <c r="H41" s="60">
        <f t="shared" si="8"/>
        <v>-7.0662949293674282E-2</v>
      </c>
      <c r="J41" s="10" t="s">
        <v>184</v>
      </c>
      <c r="K41" s="136">
        <f>(B41-$B$39)/365</f>
        <v>0.16712328767123288</v>
      </c>
      <c r="L41" s="137">
        <f>'LIBOR USD'!H30</f>
        <v>1.286</v>
      </c>
      <c r="M41" s="117">
        <f>(L41*K41-L40*K40)/(K41-K40)</f>
        <v>1.5370999999999997</v>
      </c>
      <c r="N41" s="115"/>
      <c r="O41" s="115"/>
      <c r="P41" s="115"/>
      <c r="Q41" s="115"/>
      <c r="R41" s="115" t="s">
        <v>191</v>
      </c>
      <c r="S41" s="115"/>
      <c r="T41" s="115"/>
      <c r="U41" s="115"/>
      <c r="V41" s="115"/>
      <c r="W41" s="116"/>
    </row>
    <row r="42" spans="2:23" x14ac:dyDescent="0.2">
      <c r="B42" s="6">
        <v>44774</v>
      </c>
      <c r="C42" s="59">
        <f>(365/(B42-B41))*(EXP(M42/(365/(B42-B41)))-1)</f>
        <v>1.9940134604680275</v>
      </c>
      <c r="D42" s="2">
        <f t="shared" si="4"/>
        <v>0.16935456787536673</v>
      </c>
      <c r="E42" s="2">
        <f t="shared" si="5"/>
        <v>0.21232876712328766</v>
      </c>
      <c r="F42" s="61">
        <f t="shared" si="6"/>
        <v>-4.2974199247920924E-2</v>
      </c>
      <c r="G42" s="7">
        <f t="shared" si="7"/>
        <v>0.99629316241638344</v>
      </c>
      <c r="H42" s="60">
        <f t="shared" si="8"/>
        <v>-4.2814900871022903E-2</v>
      </c>
      <c r="J42" s="10" t="s">
        <v>180</v>
      </c>
      <c r="K42" s="136">
        <f t="shared" si="9"/>
        <v>0.25205479452054796</v>
      </c>
      <c r="L42" s="137">
        <f>'LIBOR USD'!M30</f>
        <v>1.4733799999999999</v>
      </c>
      <c r="M42" s="117">
        <f>(L42*K42-L41*K41)/(K42-K41)</f>
        <v>1.8420954838709673</v>
      </c>
      <c r="N42" s="115"/>
      <c r="O42" s="115"/>
      <c r="P42" s="115"/>
      <c r="Q42" s="115"/>
      <c r="R42" s="115"/>
      <c r="S42" s="115"/>
      <c r="T42" s="115"/>
      <c r="U42" s="115"/>
      <c r="V42" s="115"/>
      <c r="W42" s="116"/>
    </row>
    <row r="43" spans="2:23" x14ac:dyDescent="0.2">
      <c r="B43" s="6">
        <v>44805</v>
      </c>
      <c r="C43" s="59">
        <f>(365/(B43-B42))*(EXP(M43/(365/(B43-B42)))-1)</f>
        <v>2.4392895178032914</v>
      </c>
      <c r="D43" s="2">
        <f t="shared" si="4"/>
        <v>0.2071725343887727</v>
      </c>
      <c r="E43" s="2">
        <f t="shared" si="5"/>
        <v>0.21232876712328766</v>
      </c>
      <c r="F43" s="61">
        <f t="shared" si="6"/>
        <v>-5.1562327345149594E-3</v>
      </c>
      <c r="G43" s="7">
        <f t="shared" si="7"/>
        <v>0.9944190977219044</v>
      </c>
      <c r="H43" s="60">
        <f t="shared" si="8"/>
        <v>-5.1274563035005136E-3</v>
      </c>
      <c r="J43" s="10" t="s">
        <v>181</v>
      </c>
      <c r="K43" s="136">
        <f t="shared" si="9"/>
        <v>0.33698630136986302</v>
      </c>
      <c r="L43" s="137">
        <f>'LIBOR USD'!N30</f>
        <v>1.66076</v>
      </c>
      <c r="M43" s="117">
        <f>(L43*K43-L42*K42)/(K43-K42)</f>
        <v>2.2168554838709684</v>
      </c>
      <c r="N43" s="115"/>
      <c r="O43" s="115"/>
      <c r="P43" s="115"/>
      <c r="Q43" s="115"/>
      <c r="R43" s="115"/>
      <c r="S43" s="115"/>
      <c r="T43" s="115"/>
      <c r="U43" s="115"/>
      <c r="V43" s="115"/>
      <c r="W43" s="116"/>
    </row>
    <row r="44" spans="2:23" x14ac:dyDescent="0.2">
      <c r="B44" s="6">
        <v>44835</v>
      </c>
      <c r="C44" s="59">
        <f>(365/(B44-B43))*(EXP(M44/(365/(B44-B43)))-1)</f>
        <v>2.919019871351515</v>
      </c>
      <c r="D44" s="2">
        <f t="shared" si="4"/>
        <v>0.23991944148094643</v>
      </c>
      <c r="E44" s="2">
        <f t="shared" si="5"/>
        <v>0.20547945205479451</v>
      </c>
      <c r="F44" s="61">
        <f t="shared" si="6"/>
        <v>3.4439989426151923E-2</v>
      </c>
      <c r="G44" s="7">
        <f t="shared" si="7"/>
        <v>0.99228293283854418</v>
      </c>
      <c r="H44" s="60">
        <f t="shared" si="8"/>
        <v>3.417421371471048E-2</v>
      </c>
      <c r="J44" s="120" t="s">
        <v>185</v>
      </c>
      <c r="K44" s="138">
        <f t="shared" si="9"/>
        <v>0.41917808219178082</v>
      </c>
      <c r="L44" s="139">
        <f>'LIBOR USD'!I30</f>
        <v>1.8481399999999999</v>
      </c>
      <c r="M44" s="117">
        <f>(L44*K44-L43*K43)/(K44-K43)</f>
        <v>2.6163979999999998</v>
      </c>
      <c r="N44" s="115"/>
      <c r="O44" s="115"/>
      <c r="P44" s="115"/>
      <c r="Q44" s="115"/>
      <c r="R44" s="115"/>
      <c r="S44" s="115"/>
      <c r="T44" s="115"/>
      <c r="U44" s="115"/>
      <c r="V44" s="115"/>
      <c r="W44" s="116"/>
    </row>
    <row r="45" spans="2:23" x14ac:dyDescent="0.2">
      <c r="B45" s="63" t="s">
        <v>177</v>
      </c>
      <c r="C45" s="63">
        <f>365/(B40-$B$39)</f>
        <v>11.774193548387096</v>
      </c>
      <c r="E45" s="63"/>
      <c r="G45" s="75"/>
      <c r="H45" s="75">
        <f>SUM(H39:H44)</f>
        <v>-0.21800092181266884</v>
      </c>
      <c r="M45" s="10"/>
      <c r="N45" s="115"/>
      <c r="O45" s="115"/>
      <c r="P45" s="115"/>
      <c r="Q45" s="115"/>
      <c r="R45" s="115"/>
      <c r="S45" s="115"/>
      <c r="T45" s="115"/>
      <c r="U45" s="115"/>
      <c r="V45" s="115"/>
      <c r="W45" s="116"/>
    </row>
    <row r="46" spans="2:23" x14ac:dyDescent="0.2">
      <c r="C46" s="1">
        <f>EXP(M38367/(B40-$B$39))</f>
        <v>1</v>
      </c>
      <c r="M46" s="10"/>
      <c r="N46" s="115"/>
      <c r="O46" s="115"/>
      <c r="P46" s="115"/>
      <c r="Q46" s="115"/>
      <c r="R46" s="115"/>
      <c r="S46" s="115"/>
      <c r="T46" s="115"/>
      <c r="U46" s="115"/>
      <c r="V46" s="115"/>
      <c r="W46" s="116"/>
    </row>
    <row r="47" spans="2:23" x14ac:dyDescent="0.2">
      <c r="M47" s="10"/>
      <c r="N47" s="115"/>
      <c r="O47" s="115"/>
      <c r="P47" s="115"/>
      <c r="Q47" s="115"/>
      <c r="R47" s="115"/>
      <c r="S47" s="115"/>
      <c r="T47" s="115"/>
      <c r="U47" s="115"/>
      <c r="V47" s="115"/>
      <c r="W47" s="116"/>
    </row>
    <row r="48" spans="2:23" ht="20.399999999999999" x14ac:dyDescent="0.2">
      <c r="G48" s="140" t="s">
        <v>199</v>
      </c>
      <c r="H48" s="72">
        <f>(F23-H45)/F23</f>
        <v>-2.2101374270619468E-2</v>
      </c>
      <c r="M48" s="10"/>
      <c r="N48" s="115"/>
      <c r="O48" s="118"/>
      <c r="P48" s="115"/>
      <c r="Q48" s="115"/>
      <c r="R48" s="115"/>
      <c r="S48" s="115"/>
      <c r="T48" s="115"/>
      <c r="U48" s="115"/>
      <c r="V48" s="115"/>
      <c r="W48" s="116"/>
    </row>
    <row r="49" spans="13:23" x14ac:dyDescent="0.2">
      <c r="M49" s="10"/>
      <c r="N49" s="115"/>
      <c r="O49" s="119"/>
      <c r="P49" s="115"/>
      <c r="Q49" s="115"/>
      <c r="R49" s="115"/>
      <c r="S49" s="115"/>
      <c r="T49" s="115"/>
      <c r="U49" s="115"/>
      <c r="V49" s="115"/>
      <c r="W49" s="116"/>
    </row>
    <row r="50" spans="13:23" x14ac:dyDescent="0.2">
      <c r="M50" s="10"/>
      <c r="N50" s="115"/>
      <c r="O50" s="115"/>
      <c r="P50" s="115"/>
      <c r="Q50" s="115"/>
      <c r="R50" s="115"/>
      <c r="S50" s="115"/>
      <c r="T50" s="115"/>
      <c r="U50" s="115"/>
      <c r="V50" s="115"/>
      <c r="W50" s="116"/>
    </row>
    <row r="51" spans="13:23" x14ac:dyDescent="0.2">
      <c r="M51" s="10"/>
      <c r="N51" s="115"/>
      <c r="O51" s="115"/>
      <c r="P51" s="115"/>
      <c r="Q51" s="115"/>
      <c r="R51" s="115"/>
      <c r="S51" s="115"/>
      <c r="T51" s="115"/>
      <c r="U51" s="115"/>
      <c r="V51" s="115"/>
      <c r="W51" s="116"/>
    </row>
    <row r="52" spans="13:23" x14ac:dyDescent="0.2">
      <c r="M52" s="10"/>
      <c r="N52" s="115"/>
      <c r="O52" s="115"/>
      <c r="P52" s="115"/>
      <c r="Q52" s="115"/>
      <c r="R52" s="115"/>
      <c r="S52" s="115"/>
      <c r="T52" s="115"/>
      <c r="U52" s="115"/>
      <c r="V52" s="115"/>
      <c r="W52" s="116"/>
    </row>
    <row r="53" spans="13:23" x14ac:dyDescent="0.2">
      <c r="M53" s="120"/>
      <c r="N53" s="121"/>
      <c r="O53" s="121"/>
      <c r="P53" s="121"/>
      <c r="Q53" s="121"/>
      <c r="R53" s="121"/>
      <c r="S53" s="121"/>
      <c r="T53" s="121"/>
      <c r="U53" s="121"/>
      <c r="V53" s="121"/>
      <c r="W53" s="122"/>
    </row>
  </sheetData>
  <mergeCells count="1">
    <mergeCell ref="K36:L36"/>
  </mergeCells>
  <hyperlinks>
    <hyperlink ref="B2" r:id="rId1" xr:uid="{8EC56D3E-245D-4C6B-8624-BB264ADB9A01}"/>
  </hyperlinks>
  <pageMargins left="0.7" right="0.7" top="0.75" bottom="0.75" header="0.3" footer="0.3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32"/>
  <sheetViews>
    <sheetView zoomScale="80" zoomScaleNormal="80" workbookViewId="0">
      <selection activeCell="P45" sqref="P45"/>
    </sheetView>
  </sheetViews>
  <sheetFormatPr defaultColWidth="8.77734375" defaultRowHeight="10.199999999999999" x14ac:dyDescent="0.2"/>
  <cols>
    <col min="1" max="2" width="8.77734375" style="1"/>
    <col min="3" max="3" width="10.21875" style="17" bestFit="1" customWidth="1"/>
    <col min="4" max="4" width="10" style="17" customWidth="1"/>
    <col min="5" max="9" width="10.88671875" style="17" customWidth="1"/>
    <col min="10" max="16384" width="8.77734375" style="1"/>
  </cols>
  <sheetData>
    <row r="2" spans="1:10" x14ac:dyDescent="0.2">
      <c r="B2" s="1" t="s">
        <v>0</v>
      </c>
      <c r="C2" s="17">
        <v>1000000</v>
      </c>
    </row>
    <row r="3" spans="1:10" x14ac:dyDescent="0.2">
      <c r="B3" s="1" t="s">
        <v>1</v>
      </c>
      <c r="C3" s="20">
        <v>0.1</v>
      </c>
    </row>
    <row r="4" spans="1:10" x14ac:dyDescent="0.2">
      <c r="B4" s="1" t="s">
        <v>2</v>
      </c>
      <c r="C4" s="17">
        <v>1</v>
      </c>
      <c r="D4" s="17" t="s">
        <v>3</v>
      </c>
    </row>
    <row r="7" spans="1:10" s="3" customFormat="1" ht="30.6" x14ac:dyDescent="0.3">
      <c r="B7" s="3" t="s">
        <v>4</v>
      </c>
      <c r="C7" s="18" t="s">
        <v>5</v>
      </c>
      <c r="D7" s="18" t="s">
        <v>6</v>
      </c>
      <c r="E7" s="18" t="s">
        <v>7</v>
      </c>
      <c r="F7" s="18" t="s">
        <v>196</v>
      </c>
      <c r="G7" s="18" t="s">
        <v>195</v>
      </c>
      <c r="H7" s="18" t="s">
        <v>194</v>
      </c>
      <c r="I7" s="18"/>
    </row>
    <row r="8" spans="1:10" s="4" customFormat="1" x14ac:dyDescent="0.2">
      <c r="A8" s="4" t="s">
        <v>0</v>
      </c>
      <c r="B8" s="5">
        <v>44197</v>
      </c>
      <c r="C8" s="19">
        <f>C2</f>
        <v>1000000</v>
      </c>
      <c r="D8" s="19">
        <f>C2</f>
        <v>1000000</v>
      </c>
      <c r="E8" s="19">
        <f>C2</f>
        <v>1000000</v>
      </c>
      <c r="F8" s="19"/>
      <c r="H8" s="19"/>
      <c r="I8" s="19"/>
    </row>
    <row r="9" spans="1:10" x14ac:dyDescent="0.2">
      <c r="B9" s="6">
        <v>44228</v>
      </c>
      <c r="C9" s="17">
        <f>$C$2*(1+$C$3*(B9-$B$8)/($B$20-$B$8))</f>
        <v>1008493.1506849315</v>
      </c>
      <c r="D9" s="17">
        <f t="shared" ref="D9:D32" si="0">$C$2*(1+$C$3/$C$4)^((B9-$B$8)/($B$20-$B$8)*$C$4)</f>
        <v>1008127.688966854</v>
      </c>
      <c r="E9" s="17">
        <f>$C$2*EXP($C$3*(B9-$B$8)/($B$20-$B$8))</f>
        <v>1008529.3198133156</v>
      </c>
      <c r="F9" s="73">
        <f>EXP($C$3*(B9-$B$8)/($B$20-$B$8))</f>
        <v>1.0085293198133156</v>
      </c>
      <c r="G9" s="73">
        <f>(1+$C$3*(B9-$B$8)/($B$20-$B$8))</f>
        <v>1.0084931506849315</v>
      </c>
      <c r="H9" s="73">
        <f>(12)*(EXP((C3)/12)-1)</f>
        <v>0.10041782648936426</v>
      </c>
      <c r="J9" s="8"/>
    </row>
    <row r="10" spans="1:10" x14ac:dyDescent="0.2">
      <c r="B10" s="6">
        <v>44256</v>
      </c>
      <c r="C10" s="17">
        <f t="shared" ref="C10:C32" si="1">$C$2*(1+$C$3*(B10-$B$8)/($B$20-$B$8))</f>
        <v>1016164.3835616439</v>
      </c>
      <c r="D10" s="17">
        <f t="shared" si="0"/>
        <v>1015525.5919365087</v>
      </c>
      <c r="E10" s="17">
        <f t="shared" ref="E10:E32" si="2">$C$2*EXP($C$3*(B10-$B$8)/($B$20-$B$8))</f>
        <v>1016295.7339881347</v>
      </c>
      <c r="G10" s="16"/>
      <c r="H10" s="74"/>
    </row>
    <row r="11" spans="1:10" x14ac:dyDescent="0.2">
      <c r="B11" s="6">
        <v>44287</v>
      </c>
      <c r="C11" s="17">
        <f t="shared" si="1"/>
        <v>1024657.5342465753</v>
      </c>
      <c r="D11" s="17">
        <f t="shared" si="0"/>
        <v>1023779.468085649</v>
      </c>
      <c r="E11" s="17">
        <f t="shared" si="2"/>
        <v>1024964.0453282278</v>
      </c>
    </row>
    <row r="12" spans="1:10" x14ac:dyDescent="0.2">
      <c r="B12" s="6">
        <v>44317</v>
      </c>
      <c r="C12" s="17">
        <f t="shared" si="1"/>
        <v>1032876.7123287672</v>
      </c>
      <c r="D12" s="17">
        <f t="shared" si="0"/>
        <v>1031830.9583913459</v>
      </c>
      <c r="E12" s="17">
        <f t="shared" si="2"/>
        <v>1033423.1230568048</v>
      </c>
    </row>
    <row r="13" spans="1:10" x14ac:dyDescent="0.2">
      <c r="B13" s="6">
        <v>44348</v>
      </c>
      <c r="C13" s="17">
        <f t="shared" si="1"/>
        <v>1041369.8630136987</v>
      </c>
      <c r="D13" s="17">
        <f t="shared" si="0"/>
        <v>1040217.3594875215</v>
      </c>
      <c r="E13" s="17">
        <f t="shared" si="2"/>
        <v>1042237.5193758316</v>
      </c>
    </row>
    <row r="14" spans="1:10" x14ac:dyDescent="0.2">
      <c r="B14" s="6">
        <v>44378</v>
      </c>
      <c r="C14" s="17">
        <f t="shared" si="1"/>
        <v>1049589.0410958903</v>
      </c>
      <c r="D14" s="17">
        <f t="shared" si="0"/>
        <v>1048398.1252157033</v>
      </c>
      <c r="E14" s="17">
        <f t="shared" si="2"/>
        <v>1050839.1559193027</v>
      </c>
    </row>
    <row r="15" spans="1:10" x14ac:dyDescent="0.2">
      <c r="B15" s="6">
        <v>44409</v>
      </c>
      <c r="C15" s="17">
        <f t="shared" si="1"/>
        <v>1058082.1917808219</v>
      </c>
      <c r="D15" s="17">
        <f t="shared" si="0"/>
        <v>1056919.1790908894</v>
      </c>
      <c r="E15" s="17">
        <f t="shared" si="2"/>
        <v>1059802.0991524933</v>
      </c>
    </row>
    <row r="16" spans="1:10" x14ac:dyDescent="0.2">
      <c r="B16" s="6">
        <v>44440</v>
      </c>
      <c r="C16" s="17">
        <f t="shared" si="1"/>
        <v>1066575.3424657534</v>
      </c>
      <c r="D16" s="17">
        <f t="shared" si="0"/>
        <v>1065509.4894416428</v>
      </c>
      <c r="E16" s="17">
        <f t="shared" si="2"/>
        <v>1068841.490194988</v>
      </c>
    </row>
    <row r="17" spans="1:9" x14ac:dyDescent="0.2">
      <c r="B17" s="6">
        <v>44470</v>
      </c>
      <c r="C17" s="17">
        <f t="shared" si="1"/>
        <v>1074794.5205479453</v>
      </c>
      <c r="D17" s="17">
        <f t="shared" si="0"/>
        <v>1073889.16454971</v>
      </c>
      <c r="E17" s="17">
        <f t="shared" si="2"/>
        <v>1077662.690593478</v>
      </c>
    </row>
    <row r="18" spans="1:9" x14ac:dyDescent="0.2">
      <c r="B18" s="6">
        <v>44501</v>
      </c>
      <c r="C18" s="17">
        <f t="shared" si="1"/>
        <v>1083287.6712328768</v>
      </c>
      <c r="D18" s="17">
        <f t="shared" si="0"/>
        <v>1082617.4016640447</v>
      </c>
      <c r="E18" s="17">
        <f t="shared" si="2"/>
        <v>1086854.4203324281</v>
      </c>
    </row>
    <row r="19" spans="1:9" x14ac:dyDescent="0.2">
      <c r="B19" s="6">
        <v>44531</v>
      </c>
      <c r="C19" s="17">
        <f t="shared" si="1"/>
        <v>1091506.8493150687</v>
      </c>
      <c r="D19" s="17">
        <f t="shared" si="0"/>
        <v>1091131.6215580772</v>
      </c>
      <c r="E19" s="17">
        <f t="shared" si="2"/>
        <v>1095824.2823126062</v>
      </c>
    </row>
    <row r="20" spans="1:9" s="4" customFormat="1" x14ac:dyDescent="0.2">
      <c r="A20" s="4" t="s">
        <v>8</v>
      </c>
      <c r="B20" s="5">
        <v>44562</v>
      </c>
      <c r="C20" s="19">
        <f t="shared" si="1"/>
        <v>1100000</v>
      </c>
      <c r="D20" s="19">
        <f t="shared" si="0"/>
        <v>1100000</v>
      </c>
      <c r="E20" s="19">
        <f t="shared" si="2"/>
        <v>1105170.9180756477</v>
      </c>
      <c r="F20" s="19"/>
      <c r="G20" s="19"/>
      <c r="H20" s="19"/>
      <c r="I20" s="19"/>
    </row>
    <row r="21" spans="1:9" x14ac:dyDescent="0.2">
      <c r="B21" s="6">
        <v>44593</v>
      </c>
      <c r="C21" s="17">
        <f t="shared" si="1"/>
        <v>1108493.1506849315</v>
      </c>
      <c r="D21" s="17">
        <f t="shared" si="0"/>
        <v>1108940.4578635395</v>
      </c>
      <c r="E21" s="17">
        <f t="shared" si="2"/>
        <v>1114597.2742842904</v>
      </c>
    </row>
    <row r="22" spans="1:9" x14ac:dyDescent="0.2">
      <c r="B22" s="6">
        <v>44621</v>
      </c>
      <c r="C22" s="17">
        <f t="shared" si="1"/>
        <v>1116164.383561644</v>
      </c>
      <c r="D22" s="17">
        <f t="shared" si="0"/>
        <v>1117078.1511301596</v>
      </c>
      <c r="E22" s="17">
        <f t="shared" si="2"/>
        <v>1123180.4893680308</v>
      </c>
    </row>
    <row r="23" spans="1:9" x14ac:dyDescent="0.2">
      <c r="B23" s="6">
        <v>44652</v>
      </c>
      <c r="C23" s="17">
        <f t="shared" si="1"/>
        <v>1124657.5342465756</v>
      </c>
      <c r="D23" s="17">
        <f t="shared" si="0"/>
        <v>1126157.4148942139</v>
      </c>
      <c r="E23" s="17">
        <f t="shared" si="2"/>
        <v>1132760.4549699272</v>
      </c>
    </row>
    <row r="24" spans="1:9" x14ac:dyDescent="0.2">
      <c r="B24" s="6">
        <v>44682</v>
      </c>
      <c r="C24" s="17">
        <f t="shared" si="1"/>
        <v>1132876.7123287672</v>
      </c>
      <c r="D24" s="17">
        <f t="shared" si="0"/>
        <v>1135014.0542304805</v>
      </c>
      <c r="E24" s="17">
        <f t="shared" si="2"/>
        <v>1142109.1816692918</v>
      </c>
    </row>
    <row r="25" spans="1:9" x14ac:dyDescent="0.2">
      <c r="B25" s="6">
        <v>44713</v>
      </c>
      <c r="C25" s="17">
        <f t="shared" si="1"/>
        <v>1141369.8630136985</v>
      </c>
      <c r="D25" s="17">
        <f t="shared" si="0"/>
        <v>1144239.0954362738</v>
      </c>
      <c r="E25" s="17">
        <f t="shared" si="2"/>
        <v>1151850.5961414734</v>
      </c>
    </row>
    <row r="26" spans="1:9" x14ac:dyDescent="0.2">
      <c r="B26" s="6">
        <v>44743</v>
      </c>
      <c r="C26" s="17">
        <f t="shared" si="1"/>
        <v>1149589.0410958903</v>
      </c>
      <c r="D26" s="17">
        <f t="shared" si="0"/>
        <v>1153237.937737274</v>
      </c>
      <c r="E26" s="17">
        <f t="shared" si="2"/>
        <v>1161356.8746971744</v>
      </c>
    </row>
    <row r="27" spans="1:9" x14ac:dyDescent="0.2">
      <c r="B27" s="6">
        <v>44774</v>
      </c>
      <c r="C27" s="17">
        <f t="shared" si="1"/>
        <v>1158082.1917808219</v>
      </c>
      <c r="D27" s="17">
        <f t="shared" si="0"/>
        <v>1162611.0969999786</v>
      </c>
      <c r="E27" s="17">
        <f t="shared" si="2"/>
        <v>1171262.4588988593</v>
      </c>
    </row>
    <row r="28" spans="1:9" x14ac:dyDescent="0.2">
      <c r="B28" s="6">
        <v>44805</v>
      </c>
      <c r="C28" s="17">
        <f t="shared" si="1"/>
        <v>1166575.3424657534</v>
      </c>
      <c r="D28" s="17">
        <f t="shared" si="0"/>
        <v>1172060.438385807</v>
      </c>
      <c r="E28" s="17">
        <f t="shared" si="2"/>
        <v>1181252.5309961382</v>
      </c>
    </row>
    <row r="29" spans="1:9" x14ac:dyDescent="0.2">
      <c r="B29" s="6">
        <v>44835</v>
      </c>
      <c r="C29" s="17">
        <f t="shared" si="1"/>
        <v>1174794.5205479453</v>
      </c>
      <c r="D29" s="17">
        <f t="shared" si="0"/>
        <v>1181278.0810046808</v>
      </c>
      <c r="E29" s="17">
        <f t="shared" si="2"/>
        <v>1191001.4651390668</v>
      </c>
    </row>
    <row r="30" spans="1:9" x14ac:dyDescent="0.2">
      <c r="B30" s="6">
        <v>44866</v>
      </c>
      <c r="C30" s="17">
        <f t="shared" si="1"/>
        <v>1183287.6712328768</v>
      </c>
      <c r="D30" s="17">
        <f t="shared" si="0"/>
        <v>1190879.1418304492</v>
      </c>
      <c r="E30" s="17">
        <f t="shared" si="2"/>
        <v>1201159.8975333653</v>
      </c>
    </row>
    <row r="31" spans="1:9" x14ac:dyDescent="0.2">
      <c r="B31" s="6">
        <v>44896</v>
      </c>
      <c r="C31" s="17">
        <f t="shared" si="1"/>
        <v>1191506.8493150685</v>
      </c>
      <c r="D31" s="17">
        <f t="shared" si="0"/>
        <v>1200244.7837138847</v>
      </c>
      <c r="E31" s="17">
        <f t="shared" si="2"/>
        <v>1211073.1281330108</v>
      </c>
    </row>
    <row r="32" spans="1:9" s="4" customFormat="1" x14ac:dyDescent="0.2">
      <c r="A32" s="4" t="s">
        <v>9</v>
      </c>
      <c r="B32" s="5">
        <v>44927</v>
      </c>
      <c r="C32" s="19">
        <f t="shared" si="1"/>
        <v>1200000</v>
      </c>
      <c r="D32" s="19">
        <f t="shared" si="0"/>
        <v>1210000.0000000002</v>
      </c>
      <c r="E32" s="19">
        <f t="shared" si="2"/>
        <v>1221402.7581601699</v>
      </c>
      <c r="F32" s="19"/>
      <c r="G32" s="19"/>
      <c r="H32" s="19"/>
      <c r="I32" s="1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7"/>
  <sheetViews>
    <sheetView workbookViewId="0">
      <pane xSplit="2" ySplit="4" topLeftCell="C14" activePane="bottomRight" state="frozen"/>
      <selection pane="topRight" activeCell="C1" sqref="C1"/>
      <selection pane="bottomLeft" activeCell="A2" sqref="A2"/>
      <selection pane="bottomRight"/>
    </sheetView>
  </sheetViews>
  <sheetFormatPr defaultColWidth="8.77734375" defaultRowHeight="14.4" x14ac:dyDescent="0.3"/>
  <cols>
    <col min="1" max="2" width="13" style="57" customWidth="1"/>
    <col min="3" max="3" width="10.33203125" style="57" customWidth="1"/>
    <col min="4" max="4" width="9.109375" style="57" customWidth="1"/>
    <col min="5" max="5" width="6" style="57" customWidth="1"/>
    <col min="6" max="6" width="9.109375" style="57" customWidth="1"/>
    <col min="7" max="7" width="6" style="57" customWidth="1"/>
    <col min="8" max="10" width="9.109375" style="57" customWidth="1"/>
    <col min="11" max="11" width="10.5546875" style="57" bestFit="1" customWidth="1"/>
    <col min="12" max="16384" width="8.77734375" style="57"/>
  </cols>
  <sheetData>
    <row r="1" spans="1:16" x14ac:dyDescent="0.3">
      <c r="A1" s="57" t="s">
        <v>231</v>
      </c>
    </row>
    <row r="3" spans="1:16" x14ac:dyDescent="0.3">
      <c r="D3" s="143" t="s">
        <v>178</v>
      </c>
      <c r="E3" s="143"/>
      <c r="F3" s="143"/>
      <c r="G3" s="143"/>
      <c r="H3" s="143"/>
      <c r="I3" s="143"/>
      <c r="J3" s="143"/>
      <c r="L3" s="143" t="s">
        <v>186</v>
      </c>
      <c r="M3" s="143"/>
      <c r="N3" s="143"/>
      <c r="O3" s="70"/>
      <c r="P3" s="70"/>
    </row>
    <row r="4" spans="1:16" x14ac:dyDescent="0.3">
      <c r="A4" s="56" t="s">
        <v>57</v>
      </c>
      <c r="B4" s="56"/>
      <c r="C4" s="56" t="s">
        <v>58</v>
      </c>
      <c r="D4" s="56" t="s">
        <v>59</v>
      </c>
      <c r="E4" s="56" t="s">
        <v>60</v>
      </c>
      <c r="F4" s="56" t="s">
        <v>61</v>
      </c>
      <c r="G4" s="56" t="s">
        <v>62</v>
      </c>
      <c r="H4" s="56" t="s">
        <v>63</v>
      </c>
      <c r="I4" s="56" t="s">
        <v>64</v>
      </c>
      <c r="J4" s="56" t="s">
        <v>65</v>
      </c>
      <c r="L4" s="57" t="s">
        <v>179</v>
      </c>
      <c r="M4" s="57" t="s">
        <v>180</v>
      </c>
      <c r="N4" s="57" t="s">
        <v>181</v>
      </c>
    </row>
    <row r="5" spans="1:16" x14ac:dyDescent="0.3">
      <c r="A5" s="108" t="s">
        <v>241</v>
      </c>
      <c r="B5" s="58">
        <v>44487</v>
      </c>
      <c r="C5" s="108" t="s">
        <v>79</v>
      </c>
      <c r="D5" s="108">
        <v>7.213E-2</v>
      </c>
      <c r="E5" s="108"/>
      <c r="F5" s="108">
        <v>8.5629999999999998E-2</v>
      </c>
      <c r="G5" s="108"/>
      <c r="H5" s="108">
        <v>0.13150000000000001</v>
      </c>
      <c r="I5" s="108">
        <v>0.16625000000000001</v>
      </c>
      <c r="J5" s="108">
        <v>0.30213000000000001</v>
      </c>
    </row>
    <row r="6" spans="1:16" x14ac:dyDescent="0.3">
      <c r="A6" s="108" t="s">
        <v>240</v>
      </c>
      <c r="B6" s="58">
        <v>44488</v>
      </c>
      <c r="C6" s="108" t="s">
        <v>73</v>
      </c>
      <c r="D6" s="108">
        <v>7.1749999999999994E-2</v>
      </c>
      <c r="E6" s="108"/>
      <c r="F6" s="108">
        <v>8.5629999999999998E-2</v>
      </c>
      <c r="G6" s="108"/>
      <c r="H6" s="108">
        <v>0.1295</v>
      </c>
      <c r="I6" s="108">
        <v>0.16750000000000001</v>
      </c>
      <c r="J6" s="108">
        <v>0.29213</v>
      </c>
    </row>
    <row r="7" spans="1:16" x14ac:dyDescent="0.3">
      <c r="A7" s="108" t="s">
        <v>239</v>
      </c>
      <c r="B7" s="58">
        <v>44489</v>
      </c>
      <c r="C7" s="108" t="s">
        <v>71</v>
      </c>
      <c r="D7" s="108">
        <v>7.3249999999999996E-2</v>
      </c>
      <c r="E7" s="108"/>
      <c r="F7" s="108">
        <v>8.5750000000000007E-2</v>
      </c>
      <c r="G7" s="108"/>
      <c r="H7" s="108">
        <v>0.12825</v>
      </c>
      <c r="I7" s="108">
        <v>0.17050000000000001</v>
      </c>
      <c r="J7" s="108">
        <v>0.29675000000000001</v>
      </c>
    </row>
    <row r="8" spans="1:16" x14ac:dyDescent="0.3">
      <c r="A8" s="108" t="s">
        <v>238</v>
      </c>
      <c r="B8" s="58">
        <v>44490</v>
      </c>
      <c r="C8" s="108" t="s">
        <v>69</v>
      </c>
      <c r="D8" s="108">
        <v>7.2749999999999995E-2</v>
      </c>
      <c r="E8" s="108"/>
      <c r="F8" s="108">
        <v>8.9249999999999996E-2</v>
      </c>
      <c r="G8" s="108"/>
      <c r="H8" s="108">
        <v>0.12388</v>
      </c>
      <c r="I8" s="108">
        <v>0.17025000000000001</v>
      </c>
      <c r="J8" s="108">
        <v>0.29649999999999999</v>
      </c>
    </row>
    <row r="9" spans="1:16" x14ac:dyDescent="0.3">
      <c r="A9" s="108" t="s">
        <v>237</v>
      </c>
      <c r="B9" s="58">
        <v>44491</v>
      </c>
      <c r="C9" s="108" t="s">
        <v>67</v>
      </c>
      <c r="D9" s="108">
        <v>7.3499999999999996E-2</v>
      </c>
      <c r="E9" s="108"/>
      <c r="F9" s="108">
        <v>8.788E-2</v>
      </c>
      <c r="G9" s="108"/>
      <c r="H9" s="108">
        <v>0.12488</v>
      </c>
      <c r="I9" s="108">
        <v>0.17199999999999999</v>
      </c>
      <c r="J9" s="108">
        <v>0.31688</v>
      </c>
    </row>
    <row r="10" spans="1:16" x14ac:dyDescent="0.3">
      <c r="A10" s="108" t="s">
        <v>236</v>
      </c>
      <c r="B10" s="58">
        <v>44494</v>
      </c>
      <c r="C10" s="108" t="s">
        <v>79</v>
      </c>
      <c r="D10" s="108">
        <v>7.1499999999999994E-2</v>
      </c>
      <c r="E10" s="108"/>
      <c r="F10" s="108">
        <v>8.7749999999999995E-2</v>
      </c>
      <c r="G10" s="108"/>
      <c r="H10" s="108">
        <v>0.13450000000000001</v>
      </c>
      <c r="I10" s="108">
        <v>0.17788000000000001</v>
      </c>
      <c r="J10" s="108">
        <v>0.32938000000000001</v>
      </c>
    </row>
    <row r="11" spans="1:16" x14ac:dyDescent="0.3">
      <c r="A11" s="108" t="s">
        <v>235</v>
      </c>
      <c r="B11" s="58">
        <v>44495</v>
      </c>
      <c r="C11" s="108" t="s">
        <v>73</v>
      </c>
      <c r="D11" s="108">
        <v>7.1629999999999999E-2</v>
      </c>
      <c r="E11" s="108"/>
      <c r="F11" s="108">
        <v>8.6999999999999994E-2</v>
      </c>
      <c r="G11" s="108"/>
      <c r="H11" s="108">
        <v>0.13588</v>
      </c>
      <c r="I11" s="108">
        <v>0.17624999999999999</v>
      </c>
      <c r="J11" s="108">
        <v>0.32274999999999998</v>
      </c>
    </row>
    <row r="12" spans="1:16" x14ac:dyDescent="0.3">
      <c r="A12" s="108" t="s">
        <v>234</v>
      </c>
      <c r="B12" s="58">
        <v>44496</v>
      </c>
      <c r="C12" s="108" t="s">
        <v>71</v>
      </c>
      <c r="D12" s="108">
        <v>6.9500000000000006E-2</v>
      </c>
      <c r="E12" s="108"/>
      <c r="F12" s="108">
        <v>8.6999999999999994E-2</v>
      </c>
      <c r="G12" s="108"/>
      <c r="H12" s="108">
        <v>0.12862999999999999</v>
      </c>
      <c r="I12" s="108">
        <v>0.17963000000000001</v>
      </c>
      <c r="J12" s="108">
        <v>0.33224999999999999</v>
      </c>
    </row>
    <row r="13" spans="1:16" x14ac:dyDescent="0.3">
      <c r="A13" s="108" t="s">
        <v>233</v>
      </c>
      <c r="B13" s="58">
        <v>44497</v>
      </c>
      <c r="C13" s="108" t="s">
        <v>69</v>
      </c>
      <c r="D13" s="108">
        <v>7.3630000000000001E-2</v>
      </c>
      <c r="E13" s="108"/>
      <c r="F13" s="108">
        <v>8.6379999999999998E-2</v>
      </c>
      <c r="G13" s="108"/>
      <c r="H13" s="108">
        <v>0.13163</v>
      </c>
      <c r="I13" s="108">
        <v>0.19363</v>
      </c>
      <c r="J13" s="108">
        <v>0.37063000000000001</v>
      </c>
    </row>
    <row r="14" spans="1:16" x14ac:dyDescent="0.3">
      <c r="A14" s="108" t="s">
        <v>232</v>
      </c>
      <c r="B14" s="58">
        <v>44498</v>
      </c>
      <c r="C14" s="108" t="s">
        <v>67</v>
      </c>
      <c r="D14" s="108">
        <v>7.213E-2</v>
      </c>
      <c r="E14" s="108"/>
      <c r="F14" s="108">
        <v>8.7499999999999994E-2</v>
      </c>
      <c r="G14" s="108"/>
      <c r="H14" s="108">
        <v>0.13225000000000001</v>
      </c>
      <c r="I14" s="108">
        <v>0.20100000000000001</v>
      </c>
      <c r="J14" s="108">
        <v>0.36113000000000001</v>
      </c>
    </row>
    <row r="15" spans="1:16" x14ac:dyDescent="0.3">
      <c r="A15" s="56"/>
      <c r="B15" s="56"/>
      <c r="C15" s="56"/>
      <c r="D15" s="56"/>
      <c r="E15" s="56"/>
      <c r="F15" s="56"/>
      <c r="G15" s="56"/>
      <c r="H15" s="56"/>
      <c r="I15" s="56"/>
      <c r="J15" s="56"/>
    </row>
    <row r="16" spans="1:16" x14ac:dyDescent="0.3">
      <c r="A16" s="56"/>
      <c r="B16" s="56"/>
      <c r="C16" s="56"/>
      <c r="D16" s="56"/>
      <c r="E16" s="56"/>
      <c r="F16" s="56"/>
      <c r="G16" s="56"/>
      <c r="H16" s="56"/>
      <c r="I16" s="56"/>
      <c r="J16" s="56"/>
    </row>
    <row r="17" spans="1:14" x14ac:dyDescent="0.3">
      <c r="A17" s="56"/>
      <c r="B17" s="56"/>
      <c r="C17" s="56"/>
      <c r="D17" s="56"/>
      <c r="E17" s="56"/>
      <c r="F17" s="56"/>
      <c r="G17" s="56"/>
      <c r="H17" s="56"/>
      <c r="I17" s="56"/>
      <c r="J17" s="56"/>
    </row>
    <row r="18" spans="1:14" x14ac:dyDescent="0.3">
      <c r="A18" s="57" t="s">
        <v>170</v>
      </c>
      <c r="B18" s="58">
        <v>44659</v>
      </c>
      <c r="C18" s="57" t="s">
        <v>67</v>
      </c>
      <c r="D18" s="57">
        <v>0.32756999999999997</v>
      </c>
      <c r="F18" s="57">
        <v>0.51400000000000001</v>
      </c>
      <c r="H18" s="57">
        <v>1.01071</v>
      </c>
      <c r="I18" s="57">
        <v>1.54043</v>
      </c>
      <c r="J18" s="57">
        <v>2.2715700000000001</v>
      </c>
      <c r="L18" s="57">
        <f>(H18-F18)/2+F18</f>
        <v>0.762355</v>
      </c>
      <c r="M18" s="57">
        <f>(I18-H18)/3+H18</f>
        <v>1.1872833333333332</v>
      </c>
      <c r="N18" s="57">
        <f>(I18-H18)/3*2+H18</f>
        <v>1.3638566666666667</v>
      </c>
    </row>
    <row r="19" spans="1:14" x14ac:dyDescent="0.3">
      <c r="A19" s="57" t="s">
        <v>169</v>
      </c>
      <c r="B19" s="58">
        <v>44662</v>
      </c>
      <c r="C19" s="57" t="s">
        <v>79</v>
      </c>
      <c r="D19" s="57">
        <v>0.32585999999999998</v>
      </c>
      <c r="F19" s="57">
        <v>0.52456999999999998</v>
      </c>
      <c r="H19" s="57">
        <v>1.0214300000000001</v>
      </c>
      <c r="I19" s="57">
        <v>1.5534300000000001</v>
      </c>
      <c r="J19" s="57">
        <v>2.28043</v>
      </c>
      <c r="L19" s="57">
        <f>(H19-F19)/2+F19</f>
        <v>0.77300000000000002</v>
      </c>
      <c r="M19" s="57">
        <f>(I19-H19)/3+H19</f>
        <v>1.1987633333333334</v>
      </c>
      <c r="N19" s="57">
        <f>(I19-H19)/3*2+H19</f>
        <v>1.3760966666666667</v>
      </c>
    </row>
    <row r="20" spans="1:14" x14ac:dyDescent="0.3">
      <c r="A20" s="57" t="s">
        <v>168</v>
      </c>
      <c r="B20" s="58">
        <v>44663</v>
      </c>
      <c r="C20" s="57" t="s">
        <v>73</v>
      </c>
      <c r="D20" s="57">
        <v>0.32629000000000002</v>
      </c>
      <c r="F20" s="57">
        <v>0.55128999999999995</v>
      </c>
      <c r="H20" s="57">
        <v>1.03843</v>
      </c>
      <c r="I20" s="57">
        <v>1.5641400000000001</v>
      </c>
      <c r="J20" s="57">
        <v>2.3077100000000002</v>
      </c>
      <c r="L20" s="57">
        <f>(H20-F20)/2+F20</f>
        <v>0.7948599999999999</v>
      </c>
      <c r="M20" s="57">
        <f>(I20-H20)/3+H20</f>
        <v>1.2136666666666667</v>
      </c>
      <c r="N20" s="57">
        <f>(I20-H20)/3*2+H20</f>
        <v>1.3889033333333334</v>
      </c>
    </row>
    <row r="21" spans="1:14" x14ac:dyDescent="0.3">
      <c r="A21" s="57" t="s">
        <v>167</v>
      </c>
      <c r="B21" s="58">
        <v>44664</v>
      </c>
      <c r="C21" s="57" t="s">
        <v>71</v>
      </c>
      <c r="D21" s="57">
        <v>0.32729000000000003</v>
      </c>
      <c r="F21" s="57">
        <v>0.55413999999999997</v>
      </c>
      <c r="H21" s="57">
        <v>1.0442899999999999</v>
      </c>
      <c r="I21" s="57">
        <v>1.5515699999999999</v>
      </c>
      <c r="J21" s="57">
        <v>2.25143</v>
      </c>
      <c r="L21" s="57">
        <f t="shared" ref="L21:L82" si="0">(H21-F21)/2+F21</f>
        <v>0.79921500000000001</v>
      </c>
      <c r="M21" s="57">
        <f t="shared" ref="M21:M82" si="1">(I21-H21)/3+H21</f>
        <v>1.2133833333333333</v>
      </c>
      <c r="N21" s="57">
        <f t="shared" ref="N21:N82" si="2">(I21-H21)/3*2+H21</f>
        <v>1.3824766666666666</v>
      </c>
    </row>
    <row r="22" spans="1:14" x14ac:dyDescent="0.3">
      <c r="A22" s="57" t="s">
        <v>166</v>
      </c>
      <c r="B22" s="58">
        <v>44665</v>
      </c>
      <c r="C22" s="57" t="s">
        <v>69</v>
      </c>
      <c r="D22" s="57">
        <v>0.32229000000000002</v>
      </c>
      <c r="F22" s="57">
        <v>0.59443000000000001</v>
      </c>
      <c r="H22" s="57">
        <v>1.06271</v>
      </c>
      <c r="I22" s="57">
        <v>1.55671</v>
      </c>
      <c r="J22" s="57">
        <v>2.2215699999999998</v>
      </c>
      <c r="L22" s="57">
        <f t="shared" si="0"/>
        <v>0.82857000000000003</v>
      </c>
      <c r="M22" s="57">
        <f t="shared" si="1"/>
        <v>1.2273766666666668</v>
      </c>
      <c r="N22" s="57">
        <f t="shared" si="2"/>
        <v>1.3920433333333333</v>
      </c>
    </row>
    <row r="23" spans="1:14" x14ac:dyDescent="0.3">
      <c r="A23" s="57" t="s">
        <v>165</v>
      </c>
      <c r="B23" s="58">
        <v>44670</v>
      </c>
      <c r="C23" s="57" t="s">
        <v>73</v>
      </c>
      <c r="D23" s="57">
        <v>0.33100000000000002</v>
      </c>
      <c r="F23" s="57">
        <v>0.62470999999999999</v>
      </c>
      <c r="H23" s="57">
        <v>1.09829</v>
      </c>
      <c r="I23" s="57">
        <v>1.60714</v>
      </c>
      <c r="J23" s="57">
        <v>2.3025699999999998</v>
      </c>
      <c r="L23" s="57">
        <f t="shared" si="0"/>
        <v>0.86149999999999993</v>
      </c>
      <c r="M23" s="57">
        <f t="shared" si="1"/>
        <v>1.2679066666666667</v>
      </c>
      <c r="N23" s="57">
        <f t="shared" si="2"/>
        <v>1.4375233333333333</v>
      </c>
    </row>
    <row r="24" spans="1:14" x14ac:dyDescent="0.3">
      <c r="A24" s="57" t="s">
        <v>164</v>
      </c>
      <c r="B24" s="58">
        <v>44671</v>
      </c>
      <c r="C24" s="57" t="s">
        <v>71</v>
      </c>
      <c r="D24" s="57">
        <v>0.32343</v>
      </c>
      <c r="F24" s="57">
        <v>0.63156999999999996</v>
      </c>
      <c r="H24" s="57">
        <v>1.13629</v>
      </c>
      <c r="I24" s="57">
        <v>1.6745699999999999</v>
      </c>
      <c r="J24" s="57">
        <v>2.3688600000000002</v>
      </c>
      <c r="L24" s="57">
        <f t="shared" si="0"/>
        <v>0.88392999999999999</v>
      </c>
      <c r="M24" s="57">
        <f t="shared" si="1"/>
        <v>1.3157166666666666</v>
      </c>
      <c r="N24" s="57">
        <f t="shared" si="2"/>
        <v>1.4951433333333333</v>
      </c>
    </row>
    <row r="25" spans="1:14" x14ac:dyDescent="0.3">
      <c r="A25" s="57" t="s">
        <v>163</v>
      </c>
      <c r="B25" s="58">
        <v>44672</v>
      </c>
      <c r="C25" s="57" t="s">
        <v>69</v>
      </c>
      <c r="D25" s="57">
        <v>0.32643</v>
      </c>
      <c r="F25" s="57">
        <v>0.66786000000000001</v>
      </c>
      <c r="H25" s="57">
        <v>1.1839999999999999</v>
      </c>
      <c r="I25" s="57">
        <v>1.72157</v>
      </c>
      <c r="J25" s="57">
        <v>2.4404300000000001</v>
      </c>
      <c r="L25" s="57">
        <f t="shared" si="0"/>
        <v>0.92592999999999992</v>
      </c>
      <c r="M25" s="57">
        <f t="shared" si="1"/>
        <v>1.3631899999999999</v>
      </c>
      <c r="N25" s="57">
        <f t="shared" si="2"/>
        <v>1.5423800000000001</v>
      </c>
    </row>
    <row r="26" spans="1:14" x14ac:dyDescent="0.3">
      <c r="A26" s="57" t="s">
        <v>162</v>
      </c>
      <c r="B26" s="58">
        <v>44673</v>
      </c>
      <c r="C26" s="57" t="s">
        <v>67</v>
      </c>
      <c r="D26" s="57">
        <v>0.32643</v>
      </c>
      <c r="F26" s="57">
        <v>0.70343</v>
      </c>
      <c r="H26" s="57">
        <v>1.2137100000000001</v>
      </c>
      <c r="I26" s="57">
        <v>1.8237099999999999</v>
      </c>
      <c r="J26" s="57">
        <v>2.6067100000000001</v>
      </c>
      <c r="L26" s="57">
        <f t="shared" si="0"/>
        <v>0.95857000000000003</v>
      </c>
      <c r="M26" s="57">
        <f t="shared" si="1"/>
        <v>1.4170433333333334</v>
      </c>
      <c r="N26" s="57">
        <f t="shared" si="2"/>
        <v>1.6203766666666666</v>
      </c>
    </row>
    <row r="27" spans="1:14" x14ac:dyDescent="0.3">
      <c r="A27" s="57" t="s">
        <v>161</v>
      </c>
      <c r="B27" s="58">
        <v>44676</v>
      </c>
      <c r="C27" s="57" t="s">
        <v>79</v>
      </c>
      <c r="D27" s="57">
        <v>0.33043</v>
      </c>
      <c r="F27" s="57">
        <v>0.69799999999999995</v>
      </c>
      <c r="H27" s="57">
        <v>1.2248600000000001</v>
      </c>
      <c r="I27" s="57">
        <v>1.81871</v>
      </c>
      <c r="J27" s="57">
        <v>2.5517099999999999</v>
      </c>
      <c r="L27" s="57">
        <f t="shared" si="0"/>
        <v>0.96143000000000001</v>
      </c>
      <c r="M27" s="57">
        <f t="shared" si="1"/>
        <v>1.4228100000000001</v>
      </c>
      <c r="N27" s="57">
        <f t="shared" si="2"/>
        <v>1.62076</v>
      </c>
    </row>
    <row r="28" spans="1:14" x14ac:dyDescent="0.3">
      <c r="A28" s="57" t="s">
        <v>160</v>
      </c>
      <c r="B28" s="58">
        <v>44677</v>
      </c>
      <c r="C28" s="57" t="s">
        <v>73</v>
      </c>
      <c r="D28" s="57">
        <v>0.33013999999999999</v>
      </c>
      <c r="F28" s="57">
        <v>0.74870999999999999</v>
      </c>
      <c r="H28" s="57">
        <v>1.23814</v>
      </c>
      <c r="I28" s="57">
        <v>1.8277099999999999</v>
      </c>
      <c r="J28" s="57">
        <v>2.5462899999999999</v>
      </c>
      <c r="L28" s="57">
        <f t="shared" si="0"/>
        <v>0.993425</v>
      </c>
      <c r="M28" s="57">
        <f t="shared" si="1"/>
        <v>1.4346633333333334</v>
      </c>
      <c r="N28" s="57">
        <f t="shared" si="2"/>
        <v>1.6311866666666666</v>
      </c>
    </row>
    <row r="29" spans="1:14" x14ac:dyDescent="0.3">
      <c r="A29" s="57" t="s">
        <v>159</v>
      </c>
      <c r="B29" s="58">
        <v>44678</v>
      </c>
      <c r="C29" s="57" t="s">
        <v>71</v>
      </c>
      <c r="D29" s="57">
        <v>0.32485999999999998</v>
      </c>
      <c r="F29" s="57">
        <v>0.76371</v>
      </c>
      <c r="H29" s="57">
        <v>1.2388600000000001</v>
      </c>
      <c r="I29" s="57">
        <v>1.82629</v>
      </c>
      <c r="J29" s="57">
        <v>2.5441400000000001</v>
      </c>
      <c r="L29" s="57">
        <f t="shared" si="0"/>
        <v>1.001285</v>
      </c>
      <c r="M29" s="57">
        <f t="shared" si="1"/>
        <v>1.4346700000000001</v>
      </c>
      <c r="N29" s="57">
        <f t="shared" si="2"/>
        <v>1.6304799999999999</v>
      </c>
    </row>
    <row r="30" spans="1:14" s="68" customFormat="1" x14ac:dyDescent="0.3">
      <c r="A30" s="68" t="s">
        <v>158</v>
      </c>
      <c r="B30" s="69">
        <v>44679</v>
      </c>
      <c r="C30" s="68" t="s">
        <v>69</v>
      </c>
      <c r="D30" s="68">
        <v>0.32500000000000001</v>
      </c>
      <c r="F30" s="68">
        <v>0.8</v>
      </c>
      <c r="H30" s="68">
        <v>1.286</v>
      </c>
      <c r="I30" s="68">
        <v>1.8481399999999999</v>
      </c>
      <c r="J30" s="68">
        <v>2.54914</v>
      </c>
      <c r="K30" s="68">
        <v>1</v>
      </c>
      <c r="L30" s="68">
        <f t="shared" si="0"/>
        <v>1.0430000000000001</v>
      </c>
      <c r="M30" s="68">
        <f t="shared" si="1"/>
        <v>1.4733799999999999</v>
      </c>
      <c r="N30" s="68">
        <f t="shared" si="2"/>
        <v>1.66076</v>
      </c>
    </row>
    <row r="31" spans="1:14" x14ac:dyDescent="0.3">
      <c r="A31" s="57" t="s">
        <v>157</v>
      </c>
      <c r="B31" s="58">
        <v>44680</v>
      </c>
      <c r="C31" s="57" t="s">
        <v>67</v>
      </c>
      <c r="D31" s="57">
        <v>0.33</v>
      </c>
      <c r="F31" s="57">
        <v>0.80328999999999995</v>
      </c>
      <c r="H31" s="57">
        <v>1.3348599999999999</v>
      </c>
      <c r="I31" s="57">
        <v>1.9107099999999999</v>
      </c>
      <c r="J31" s="57">
        <v>2.6285699999999999</v>
      </c>
      <c r="L31" s="57">
        <f t="shared" si="0"/>
        <v>1.069075</v>
      </c>
      <c r="M31" s="57">
        <f t="shared" si="1"/>
        <v>1.52681</v>
      </c>
      <c r="N31" s="57">
        <f t="shared" si="2"/>
        <v>1.7187599999999998</v>
      </c>
    </row>
    <row r="32" spans="1:14" x14ac:dyDescent="0.3">
      <c r="A32" s="57" t="s">
        <v>156</v>
      </c>
      <c r="B32" s="58">
        <v>44684</v>
      </c>
      <c r="C32" s="57" t="s">
        <v>73</v>
      </c>
      <c r="D32" s="57">
        <v>0.33028999999999997</v>
      </c>
      <c r="F32" s="57">
        <v>0.83170999999999995</v>
      </c>
      <c r="H32" s="57">
        <v>1.3632899999999999</v>
      </c>
      <c r="I32" s="57">
        <v>1.9808600000000001</v>
      </c>
      <c r="J32" s="57">
        <v>2.6948599999999998</v>
      </c>
      <c r="L32" s="57">
        <f t="shared" si="0"/>
        <v>1.0974999999999999</v>
      </c>
      <c r="M32" s="57">
        <f t="shared" si="1"/>
        <v>1.5691466666666667</v>
      </c>
      <c r="N32" s="57">
        <f t="shared" si="2"/>
        <v>1.7750033333333333</v>
      </c>
    </row>
    <row r="33" spans="1:14" x14ac:dyDescent="0.3">
      <c r="A33" s="57" t="s">
        <v>155</v>
      </c>
      <c r="B33" s="58">
        <v>44685</v>
      </c>
      <c r="C33" s="57" t="s">
        <v>71</v>
      </c>
      <c r="D33" s="57">
        <v>0.33028999999999997</v>
      </c>
      <c r="F33" s="57">
        <v>0.84514</v>
      </c>
      <c r="H33" s="57">
        <v>1.4061399999999999</v>
      </c>
      <c r="I33" s="57">
        <v>2.0195699999999999</v>
      </c>
      <c r="J33" s="57">
        <v>2.7484299999999999</v>
      </c>
      <c r="L33" s="57">
        <f t="shared" si="0"/>
        <v>1.12564</v>
      </c>
      <c r="M33" s="57">
        <f t="shared" si="1"/>
        <v>1.6106166666666666</v>
      </c>
      <c r="N33" s="57">
        <f t="shared" si="2"/>
        <v>1.8150933333333332</v>
      </c>
    </row>
    <row r="34" spans="1:14" x14ac:dyDescent="0.3">
      <c r="A34" s="57" t="s">
        <v>154</v>
      </c>
      <c r="B34" s="58">
        <v>44686</v>
      </c>
      <c r="C34" s="57" t="s">
        <v>69</v>
      </c>
      <c r="D34" s="57">
        <v>0.81513999999999998</v>
      </c>
      <c r="F34" s="57">
        <v>0.84486000000000006</v>
      </c>
      <c r="H34" s="57">
        <v>1.3707100000000001</v>
      </c>
      <c r="I34" s="57">
        <v>1.97214</v>
      </c>
      <c r="J34" s="57">
        <v>2.6721400000000002</v>
      </c>
      <c r="L34" s="57">
        <f t="shared" si="0"/>
        <v>1.107785</v>
      </c>
      <c r="M34" s="57">
        <f t="shared" si="1"/>
        <v>1.5711866666666667</v>
      </c>
      <c r="N34" s="57">
        <f t="shared" si="2"/>
        <v>1.7716633333333334</v>
      </c>
    </row>
    <row r="35" spans="1:14" x14ac:dyDescent="0.3">
      <c r="A35" s="57" t="s">
        <v>153</v>
      </c>
      <c r="B35" s="58">
        <v>44687</v>
      </c>
      <c r="C35" s="57" t="s">
        <v>67</v>
      </c>
      <c r="D35" s="57">
        <v>0.81857000000000002</v>
      </c>
      <c r="F35" s="57">
        <v>0.84214</v>
      </c>
      <c r="H35" s="57">
        <v>1.4018600000000001</v>
      </c>
      <c r="I35" s="57">
        <v>1.9645699999999999</v>
      </c>
      <c r="J35" s="57">
        <v>2.6947100000000002</v>
      </c>
      <c r="L35" s="57">
        <f t="shared" si="0"/>
        <v>1.1220000000000001</v>
      </c>
      <c r="M35" s="57">
        <f t="shared" si="1"/>
        <v>1.5894300000000001</v>
      </c>
      <c r="N35" s="57">
        <f t="shared" si="2"/>
        <v>1.7769999999999999</v>
      </c>
    </row>
    <row r="36" spans="1:14" x14ac:dyDescent="0.3">
      <c r="A36" s="57" t="s">
        <v>152</v>
      </c>
      <c r="B36" s="58">
        <v>44690</v>
      </c>
      <c r="C36" s="57" t="s">
        <v>79</v>
      </c>
      <c r="D36" s="57">
        <v>0.82499999999999996</v>
      </c>
      <c r="F36" s="57">
        <v>0.84443000000000001</v>
      </c>
      <c r="H36" s="57">
        <v>1.3985700000000001</v>
      </c>
      <c r="I36" s="57">
        <v>1.98014</v>
      </c>
      <c r="J36" s="57">
        <v>2.6748599999999998</v>
      </c>
      <c r="L36" s="57">
        <f t="shared" si="0"/>
        <v>1.1215000000000002</v>
      </c>
      <c r="M36" s="57">
        <f t="shared" si="1"/>
        <v>1.5924266666666667</v>
      </c>
      <c r="N36" s="57">
        <f t="shared" si="2"/>
        <v>1.7862833333333334</v>
      </c>
    </row>
    <row r="37" spans="1:14" x14ac:dyDescent="0.3">
      <c r="A37" s="57" t="s">
        <v>151</v>
      </c>
      <c r="B37" s="58">
        <v>44691</v>
      </c>
      <c r="C37" s="57" t="s">
        <v>73</v>
      </c>
      <c r="D37" s="57">
        <v>0.82371000000000005</v>
      </c>
      <c r="F37" s="57">
        <v>0.84314</v>
      </c>
      <c r="H37" s="57">
        <v>1.3998600000000001</v>
      </c>
      <c r="I37" s="57">
        <v>1.9319999999999999</v>
      </c>
      <c r="J37" s="57">
        <v>2.5882900000000002</v>
      </c>
      <c r="L37" s="57">
        <f t="shared" si="0"/>
        <v>1.1215000000000002</v>
      </c>
      <c r="M37" s="57">
        <f t="shared" si="1"/>
        <v>1.57724</v>
      </c>
      <c r="N37" s="57">
        <f t="shared" si="2"/>
        <v>1.7546200000000001</v>
      </c>
    </row>
    <row r="38" spans="1:14" x14ac:dyDescent="0.3">
      <c r="A38" s="57" t="s">
        <v>150</v>
      </c>
      <c r="B38" s="58">
        <v>44692</v>
      </c>
      <c r="C38" s="57" t="s">
        <v>71</v>
      </c>
      <c r="D38" s="57">
        <v>0.82599999999999996</v>
      </c>
      <c r="F38" s="57">
        <v>0.85414000000000001</v>
      </c>
      <c r="H38" s="57">
        <v>1.4218599999999999</v>
      </c>
      <c r="I38" s="57">
        <v>1.96271</v>
      </c>
      <c r="J38" s="57">
        <v>2.6167099999999999</v>
      </c>
      <c r="L38" s="57">
        <f t="shared" si="0"/>
        <v>1.1379999999999999</v>
      </c>
      <c r="M38" s="57">
        <f t="shared" si="1"/>
        <v>1.6021433333333333</v>
      </c>
      <c r="N38" s="57">
        <f t="shared" si="2"/>
        <v>1.7824266666666666</v>
      </c>
    </row>
    <row r="39" spans="1:14" x14ac:dyDescent="0.3">
      <c r="A39" s="57" t="s">
        <v>149</v>
      </c>
      <c r="B39" s="58">
        <v>44693</v>
      </c>
      <c r="C39" s="57" t="s">
        <v>69</v>
      </c>
      <c r="D39" s="57">
        <v>0.82686000000000004</v>
      </c>
      <c r="F39" s="57">
        <v>0.87470999999999999</v>
      </c>
      <c r="H39" s="57">
        <v>1.4112899999999999</v>
      </c>
      <c r="I39" s="57">
        <v>1.95886</v>
      </c>
      <c r="J39" s="57">
        <v>2.6298599999999999</v>
      </c>
      <c r="L39" s="57">
        <f t="shared" si="0"/>
        <v>1.143</v>
      </c>
      <c r="M39" s="57">
        <f t="shared" si="1"/>
        <v>1.5938133333333333</v>
      </c>
      <c r="N39" s="57">
        <f t="shared" si="2"/>
        <v>1.7763366666666667</v>
      </c>
    </row>
    <row r="40" spans="1:14" x14ac:dyDescent="0.3">
      <c r="A40" s="57" t="s">
        <v>148</v>
      </c>
      <c r="B40" s="58">
        <v>44694</v>
      </c>
      <c r="C40" s="57" t="s">
        <v>67</v>
      </c>
      <c r="D40" s="57">
        <v>0.82571000000000006</v>
      </c>
      <c r="F40" s="57">
        <v>0.88671</v>
      </c>
      <c r="H40" s="57">
        <v>1.44371</v>
      </c>
      <c r="I40" s="57">
        <v>1.9950000000000001</v>
      </c>
      <c r="J40" s="57">
        <v>2.6521400000000002</v>
      </c>
      <c r="L40" s="57">
        <f t="shared" si="0"/>
        <v>1.1652100000000001</v>
      </c>
      <c r="M40" s="57">
        <f t="shared" si="1"/>
        <v>1.6274733333333333</v>
      </c>
      <c r="N40" s="57">
        <f t="shared" si="2"/>
        <v>1.8112366666666668</v>
      </c>
    </row>
    <row r="41" spans="1:14" x14ac:dyDescent="0.3">
      <c r="A41" s="57" t="s">
        <v>147</v>
      </c>
      <c r="B41" s="58">
        <v>44697</v>
      </c>
      <c r="C41" s="57" t="s">
        <v>79</v>
      </c>
      <c r="D41" s="57">
        <v>0.82228999999999997</v>
      </c>
      <c r="F41" s="57">
        <v>0.93557000000000001</v>
      </c>
      <c r="H41" s="57">
        <v>1.4550000000000001</v>
      </c>
      <c r="I41" s="57">
        <v>2.0169999999999999</v>
      </c>
      <c r="J41" s="57">
        <v>2.65686</v>
      </c>
      <c r="L41" s="57">
        <f t="shared" si="0"/>
        <v>1.1952850000000002</v>
      </c>
      <c r="M41" s="57">
        <f t="shared" si="1"/>
        <v>1.6423333333333334</v>
      </c>
      <c r="N41" s="57">
        <f t="shared" si="2"/>
        <v>1.8296666666666666</v>
      </c>
    </row>
    <row r="42" spans="1:14" x14ac:dyDescent="0.3">
      <c r="A42" s="57" t="s">
        <v>146</v>
      </c>
      <c r="B42" s="58">
        <v>44698</v>
      </c>
      <c r="C42" s="57" t="s">
        <v>73</v>
      </c>
      <c r="D42" s="57">
        <v>0.82013999999999998</v>
      </c>
      <c r="F42" s="57">
        <v>0.92842999999999998</v>
      </c>
      <c r="H42" s="57">
        <v>1.44757</v>
      </c>
      <c r="I42" s="57">
        <v>2.0051399999999999</v>
      </c>
      <c r="J42" s="57">
        <v>2.6777099999999998</v>
      </c>
      <c r="L42" s="57">
        <f t="shared" si="0"/>
        <v>1.1879999999999999</v>
      </c>
      <c r="M42" s="57">
        <f t="shared" si="1"/>
        <v>1.6334266666666666</v>
      </c>
      <c r="N42" s="57">
        <f t="shared" si="2"/>
        <v>1.8192833333333334</v>
      </c>
    </row>
    <row r="43" spans="1:14" x14ac:dyDescent="0.3">
      <c r="A43" s="57" t="s">
        <v>145</v>
      </c>
      <c r="B43" s="58">
        <v>44699</v>
      </c>
      <c r="C43" s="57" t="s">
        <v>71</v>
      </c>
      <c r="D43" s="57">
        <v>0.82028999999999996</v>
      </c>
      <c r="F43" s="57">
        <v>0.92728999999999995</v>
      </c>
      <c r="H43" s="57">
        <v>1.478</v>
      </c>
      <c r="I43" s="57">
        <v>2.0331399999999999</v>
      </c>
      <c r="J43" s="57">
        <v>2.7410000000000001</v>
      </c>
      <c r="L43" s="57">
        <f t="shared" si="0"/>
        <v>1.202645</v>
      </c>
      <c r="M43" s="57">
        <f t="shared" si="1"/>
        <v>1.6630466666666666</v>
      </c>
      <c r="N43" s="57">
        <f t="shared" si="2"/>
        <v>1.8480933333333334</v>
      </c>
    </row>
    <row r="44" spans="1:14" x14ac:dyDescent="0.3">
      <c r="A44" s="57" t="s">
        <v>144</v>
      </c>
      <c r="B44" s="58">
        <v>44700</v>
      </c>
      <c r="C44" s="57" t="s">
        <v>69</v>
      </c>
      <c r="D44" s="57">
        <v>0.82</v>
      </c>
      <c r="F44" s="57">
        <v>0.96070999999999995</v>
      </c>
      <c r="H44" s="57">
        <v>1.5048600000000001</v>
      </c>
      <c r="I44" s="57">
        <v>2.0255700000000001</v>
      </c>
      <c r="J44" s="57">
        <v>2.706</v>
      </c>
      <c r="L44" s="57">
        <f t="shared" si="0"/>
        <v>1.232785</v>
      </c>
      <c r="M44" s="57">
        <f t="shared" si="1"/>
        <v>1.6784300000000001</v>
      </c>
      <c r="N44" s="57">
        <f t="shared" si="2"/>
        <v>1.8520000000000001</v>
      </c>
    </row>
    <row r="45" spans="1:14" x14ac:dyDescent="0.3">
      <c r="A45" s="57" t="s">
        <v>143</v>
      </c>
      <c r="B45" s="58">
        <v>44701</v>
      </c>
      <c r="C45" s="57" t="s">
        <v>67</v>
      </c>
      <c r="D45" s="57">
        <v>0.82471000000000005</v>
      </c>
      <c r="F45" s="57">
        <v>0.97357000000000005</v>
      </c>
      <c r="H45" s="57">
        <v>1.5064299999999999</v>
      </c>
      <c r="I45" s="57">
        <v>2.0655700000000001</v>
      </c>
      <c r="J45" s="57">
        <v>2.73</v>
      </c>
      <c r="L45" s="57">
        <f t="shared" si="0"/>
        <v>1.24</v>
      </c>
      <c r="M45" s="57">
        <f t="shared" si="1"/>
        <v>1.6928099999999999</v>
      </c>
      <c r="N45" s="57">
        <f t="shared" si="2"/>
        <v>1.8791900000000001</v>
      </c>
    </row>
    <row r="46" spans="1:14" x14ac:dyDescent="0.3">
      <c r="A46" s="57" t="s">
        <v>142</v>
      </c>
      <c r="B46" s="58">
        <v>44704</v>
      </c>
      <c r="C46" s="57" t="s">
        <v>79</v>
      </c>
      <c r="D46" s="57">
        <v>0.82313999999999998</v>
      </c>
      <c r="F46" s="57">
        <v>1.0057100000000001</v>
      </c>
      <c r="H46" s="57">
        <v>1.52386</v>
      </c>
      <c r="I46" s="57">
        <v>2.0618599999999998</v>
      </c>
      <c r="J46" s="57">
        <v>2.718</v>
      </c>
      <c r="L46" s="57">
        <f t="shared" si="0"/>
        <v>1.264785</v>
      </c>
      <c r="M46" s="57">
        <f t="shared" si="1"/>
        <v>1.7031933333333333</v>
      </c>
      <c r="N46" s="57">
        <f t="shared" si="2"/>
        <v>1.8825266666666665</v>
      </c>
    </row>
    <row r="47" spans="1:14" x14ac:dyDescent="0.3">
      <c r="A47" s="57" t="s">
        <v>141</v>
      </c>
      <c r="B47" s="58">
        <v>44705</v>
      </c>
      <c r="C47" s="57" t="s">
        <v>73</v>
      </c>
      <c r="D47" s="57">
        <v>0.82386000000000004</v>
      </c>
      <c r="F47" s="57">
        <v>1.01657</v>
      </c>
      <c r="H47" s="57">
        <v>1.5309999999999999</v>
      </c>
      <c r="I47" s="57">
        <v>2.0711400000000002</v>
      </c>
      <c r="J47" s="57">
        <v>2.68886</v>
      </c>
      <c r="L47" s="57">
        <f t="shared" si="0"/>
        <v>1.2737849999999999</v>
      </c>
      <c r="M47" s="57">
        <f t="shared" si="1"/>
        <v>1.7110466666666666</v>
      </c>
      <c r="N47" s="57">
        <f t="shared" si="2"/>
        <v>1.8910933333333335</v>
      </c>
    </row>
    <row r="48" spans="1:14" x14ac:dyDescent="0.3">
      <c r="A48" s="57" t="s">
        <v>140</v>
      </c>
      <c r="B48" s="58">
        <v>44706</v>
      </c>
      <c r="C48" s="57" t="s">
        <v>71</v>
      </c>
      <c r="D48" s="57">
        <v>0.81942999999999999</v>
      </c>
      <c r="F48" s="57">
        <v>1.0229999999999999</v>
      </c>
      <c r="H48" s="57">
        <v>1.5528599999999999</v>
      </c>
      <c r="I48" s="57">
        <v>2.0542899999999999</v>
      </c>
      <c r="J48" s="57">
        <v>2.6840000000000002</v>
      </c>
      <c r="L48" s="57">
        <f t="shared" si="0"/>
        <v>1.2879299999999998</v>
      </c>
      <c r="M48" s="57">
        <f t="shared" si="1"/>
        <v>1.7200033333333333</v>
      </c>
      <c r="N48" s="57">
        <f t="shared" si="2"/>
        <v>1.8871466666666665</v>
      </c>
    </row>
    <row r="49" spans="1:14" x14ac:dyDescent="0.3">
      <c r="A49" s="57" t="s">
        <v>139</v>
      </c>
      <c r="B49" s="58">
        <v>44707</v>
      </c>
      <c r="C49" s="57" t="s">
        <v>69</v>
      </c>
      <c r="D49" s="57">
        <v>0.81728999999999996</v>
      </c>
      <c r="F49" s="57">
        <v>1.0595699999999999</v>
      </c>
      <c r="H49" s="57">
        <v>1.5748599999999999</v>
      </c>
      <c r="I49" s="57">
        <v>2.0757099999999999</v>
      </c>
      <c r="J49" s="57">
        <v>2.6815699999999998</v>
      </c>
      <c r="L49" s="57">
        <f t="shared" si="0"/>
        <v>1.317215</v>
      </c>
      <c r="M49" s="57">
        <f t="shared" si="1"/>
        <v>1.7418099999999999</v>
      </c>
      <c r="N49" s="57">
        <f t="shared" si="2"/>
        <v>1.90876</v>
      </c>
    </row>
    <row r="50" spans="1:14" x14ac:dyDescent="0.3">
      <c r="A50" s="57" t="s">
        <v>138</v>
      </c>
      <c r="B50" s="58">
        <v>44708</v>
      </c>
      <c r="C50" s="57" t="s">
        <v>67</v>
      </c>
      <c r="D50" s="57">
        <v>0.82557000000000003</v>
      </c>
      <c r="F50" s="57">
        <v>1.0617099999999999</v>
      </c>
      <c r="H50" s="57">
        <v>1.5978600000000001</v>
      </c>
      <c r="I50" s="57">
        <v>2.0861399999999999</v>
      </c>
      <c r="J50" s="57">
        <v>2.6957100000000001</v>
      </c>
      <c r="L50" s="57">
        <f t="shared" si="0"/>
        <v>1.329785</v>
      </c>
      <c r="M50" s="57">
        <f t="shared" si="1"/>
        <v>1.7606200000000001</v>
      </c>
      <c r="N50" s="57">
        <f t="shared" si="2"/>
        <v>1.9233799999999999</v>
      </c>
    </row>
    <row r="51" spans="1:14" x14ac:dyDescent="0.3">
      <c r="A51" s="57" t="s">
        <v>137</v>
      </c>
      <c r="B51" s="58">
        <v>44711</v>
      </c>
      <c r="C51" s="57" t="s">
        <v>79</v>
      </c>
      <c r="F51" s="57">
        <v>1.0615699999999999</v>
      </c>
      <c r="H51" s="57">
        <v>1.58043</v>
      </c>
      <c r="I51" s="57">
        <v>2.0688599999999999</v>
      </c>
      <c r="J51" s="57">
        <v>2.6975699999999998</v>
      </c>
      <c r="L51" s="57">
        <f t="shared" si="0"/>
        <v>1.321</v>
      </c>
      <c r="M51" s="57">
        <f t="shared" si="1"/>
        <v>1.7432399999999999</v>
      </c>
      <c r="N51" s="57">
        <f t="shared" si="2"/>
        <v>1.90605</v>
      </c>
    </row>
    <row r="52" spans="1:14" x14ac:dyDescent="0.3">
      <c r="A52" s="57" t="s">
        <v>136</v>
      </c>
      <c r="B52" s="58">
        <v>44712</v>
      </c>
      <c r="C52" s="57" t="s">
        <v>73</v>
      </c>
      <c r="D52" s="57">
        <v>0.82199999999999995</v>
      </c>
      <c r="F52" s="57">
        <v>1.1198600000000001</v>
      </c>
      <c r="H52" s="57">
        <v>1.6107100000000001</v>
      </c>
      <c r="I52" s="57">
        <v>2.1059999999999999</v>
      </c>
      <c r="J52" s="57">
        <v>2.74</v>
      </c>
      <c r="L52" s="57">
        <f t="shared" si="0"/>
        <v>1.3652850000000001</v>
      </c>
      <c r="M52" s="57">
        <f t="shared" si="1"/>
        <v>1.7758066666666668</v>
      </c>
      <c r="N52" s="57">
        <f t="shared" si="2"/>
        <v>1.9409033333333332</v>
      </c>
    </row>
    <row r="53" spans="1:14" x14ac:dyDescent="0.3">
      <c r="A53" s="57" t="s">
        <v>135</v>
      </c>
      <c r="B53" s="58">
        <v>44713</v>
      </c>
      <c r="C53" s="57" t="s">
        <v>71</v>
      </c>
      <c r="D53" s="57">
        <v>0.81913999999999998</v>
      </c>
      <c r="F53" s="57">
        <v>1.11971</v>
      </c>
      <c r="H53" s="57">
        <v>1.6259999999999999</v>
      </c>
      <c r="I53" s="57">
        <v>2.1092900000000001</v>
      </c>
      <c r="J53" s="57">
        <v>2.7754300000000001</v>
      </c>
      <c r="L53" s="57">
        <f t="shared" si="0"/>
        <v>1.3728549999999999</v>
      </c>
      <c r="M53" s="57">
        <f t="shared" si="1"/>
        <v>1.7870966666666666</v>
      </c>
      <c r="N53" s="57">
        <f t="shared" si="2"/>
        <v>1.9481933333333334</v>
      </c>
    </row>
    <row r="54" spans="1:14" x14ac:dyDescent="0.3">
      <c r="A54" s="57" t="s">
        <v>134</v>
      </c>
      <c r="B54" s="58">
        <v>44718</v>
      </c>
      <c r="C54" s="57" t="s">
        <v>79</v>
      </c>
      <c r="D54" s="57">
        <v>0.82142999999999999</v>
      </c>
      <c r="F54" s="57">
        <v>1.15971</v>
      </c>
      <c r="H54" s="57">
        <v>1.665</v>
      </c>
      <c r="I54" s="57">
        <v>2.1880000000000002</v>
      </c>
      <c r="J54" s="57">
        <v>2.85229</v>
      </c>
      <c r="L54" s="57">
        <f t="shared" si="0"/>
        <v>1.412355</v>
      </c>
      <c r="M54" s="57">
        <f t="shared" si="1"/>
        <v>1.8393333333333335</v>
      </c>
      <c r="N54" s="57">
        <f t="shared" si="2"/>
        <v>2.0136666666666669</v>
      </c>
    </row>
    <row r="55" spans="1:14" x14ac:dyDescent="0.3">
      <c r="A55" s="57" t="s">
        <v>133</v>
      </c>
      <c r="B55" s="58">
        <v>44719</v>
      </c>
      <c r="C55" s="57" t="s">
        <v>73</v>
      </c>
      <c r="D55" s="57">
        <v>0.82657000000000003</v>
      </c>
      <c r="F55" s="57">
        <v>1.1902900000000001</v>
      </c>
      <c r="H55" s="57">
        <v>1.6904300000000001</v>
      </c>
      <c r="I55" s="57">
        <v>2.2384300000000001</v>
      </c>
      <c r="J55" s="57">
        <v>2.88957</v>
      </c>
      <c r="L55" s="57">
        <f t="shared" si="0"/>
        <v>1.4403600000000001</v>
      </c>
      <c r="M55" s="57">
        <f t="shared" si="1"/>
        <v>1.8730966666666669</v>
      </c>
      <c r="N55" s="57">
        <f t="shared" si="2"/>
        <v>2.0557633333333336</v>
      </c>
    </row>
    <row r="56" spans="1:14" x14ac:dyDescent="0.3">
      <c r="A56" s="57" t="s">
        <v>132</v>
      </c>
      <c r="B56" s="58">
        <v>44720</v>
      </c>
      <c r="C56" s="57" t="s">
        <v>71</v>
      </c>
      <c r="D56" s="57">
        <v>0.81957000000000002</v>
      </c>
      <c r="F56" s="57">
        <v>1.1997100000000001</v>
      </c>
      <c r="H56" s="57">
        <v>1.68771</v>
      </c>
      <c r="I56" s="57">
        <v>2.2664300000000002</v>
      </c>
      <c r="J56" s="57">
        <v>2.91214</v>
      </c>
      <c r="L56" s="57">
        <f t="shared" si="0"/>
        <v>1.44371</v>
      </c>
      <c r="M56" s="57">
        <f t="shared" si="1"/>
        <v>1.8806166666666668</v>
      </c>
      <c r="N56" s="57">
        <f t="shared" si="2"/>
        <v>2.0735233333333336</v>
      </c>
    </row>
    <row r="57" spans="1:14" x14ac:dyDescent="0.3">
      <c r="A57" s="57" t="s">
        <v>131</v>
      </c>
      <c r="B57" s="58">
        <v>44721</v>
      </c>
      <c r="C57" s="57" t="s">
        <v>69</v>
      </c>
      <c r="D57" s="57">
        <v>0.82</v>
      </c>
      <c r="F57" s="57">
        <v>1.25471</v>
      </c>
      <c r="H57" s="57">
        <v>1.72129</v>
      </c>
      <c r="I57" s="57">
        <v>2.2942900000000002</v>
      </c>
      <c r="J57" s="57">
        <v>2.9585699999999999</v>
      </c>
      <c r="L57" s="57">
        <f t="shared" si="0"/>
        <v>1.488</v>
      </c>
      <c r="M57" s="57">
        <f t="shared" si="1"/>
        <v>1.91229</v>
      </c>
      <c r="N57" s="57">
        <f t="shared" si="2"/>
        <v>2.1032900000000003</v>
      </c>
    </row>
    <row r="58" spans="1:14" x14ac:dyDescent="0.3">
      <c r="A58" s="57" t="s">
        <v>130</v>
      </c>
      <c r="B58" s="58">
        <v>44722</v>
      </c>
      <c r="C58" s="57" t="s">
        <v>67</v>
      </c>
      <c r="D58" s="57">
        <v>0.81928999999999996</v>
      </c>
      <c r="F58" s="57">
        <v>1.2821400000000001</v>
      </c>
      <c r="H58" s="57">
        <v>1.74471</v>
      </c>
      <c r="I58" s="57">
        <v>2.3115700000000001</v>
      </c>
      <c r="J58" s="57">
        <v>3.00543</v>
      </c>
      <c r="L58" s="57">
        <f t="shared" si="0"/>
        <v>1.513425</v>
      </c>
      <c r="M58" s="57">
        <f t="shared" si="1"/>
        <v>1.9336633333333333</v>
      </c>
      <c r="N58" s="57">
        <f t="shared" si="2"/>
        <v>2.1226166666666666</v>
      </c>
    </row>
    <row r="59" spans="1:14" x14ac:dyDescent="0.3">
      <c r="A59" s="57" t="s">
        <v>129</v>
      </c>
      <c r="B59" s="58">
        <v>44725</v>
      </c>
      <c r="C59" s="57" t="s">
        <v>79</v>
      </c>
      <c r="D59" s="57">
        <v>0.82028999999999996</v>
      </c>
      <c r="F59" s="57">
        <v>1.3240000000000001</v>
      </c>
      <c r="H59" s="57">
        <v>1.8288599999999999</v>
      </c>
      <c r="I59" s="57">
        <v>2.5101399999999998</v>
      </c>
      <c r="J59" s="57">
        <v>3.3698600000000001</v>
      </c>
      <c r="L59" s="57">
        <f t="shared" si="0"/>
        <v>1.57643</v>
      </c>
      <c r="M59" s="57">
        <f t="shared" si="1"/>
        <v>2.0559533333333331</v>
      </c>
      <c r="N59" s="57">
        <f t="shared" si="2"/>
        <v>2.2830466666666664</v>
      </c>
    </row>
    <row r="60" spans="1:14" x14ac:dyDescent="0.3">
      <c r="A60" s="57" t="s">
        <v>128</v>
      </c>
      <c r="B60" s="58">
        <v>44726</v>
      </c>
      <c r="C60" s="57" t="s">
        <v>73</v>
      </c>
      <c r="D60" s="57">
        <v>0.81586000000000003</v>
      </c>
      <c r="F60" s="57">
        <v>1.50929</v>
      </c>
      <c r="H60" s="57">
        <v>2.0032899999999998</v>
      </c>
      <c r="I60" s="57">
        <v>2.6680000000000001</v>
      </c>
      <c r="J60" s="57">
        <v>3.5812900000000001</v>
      </c>
      <c r="L60" s="57">
        <f t="shared" si="0"/>
        <v>1.7562899999999999</v>
      </c>
      <c r="M60" s="57">
        <f t="shared" si="1"/>
        <v>2.2248600000000001</v>
      </c>
      <c r="N60" s="57">
        <f t="shared" si="2"/>
        <v>2.4464299999999999</v>
      </c>
    </row>
    <row r="61" spans="1:14" x14ac:dyDescent="0.3">
      <c r="A61" s="57" t="s">
        <v>127</v>
      </c>
      <c r="B61" s="58">
        <v>44727</v>
      </c>
      <c r="C61" s="57" t="s">
        <v>71</v>
      </c>
      <c r="D61" s="57">
        <v>0.82486000000000004</v>
      </c>
      <c r="F61" s="57">
        <v>1.5234300000000001</v>
      </c>
      <c r="H61" s="57">
        <v>2.0295700000000001</v>
      </c>
      <c r="I61" s="57">
        <v>2.7482899999999999</v>
      </c>
      <c r="J61" s="57">
        <v>3.6125699999999998</v>
      </c>
      <c r="L61" s="57">
        <f t="shared" si="0"/>
        <v>1.7765</v>
      </c>
      <c r="M61" s="57">
        <f t="shared" si="1"/>
        <v>2.2691433333333335</v>
      </c>
      <c r="N61" s="57">
        <f t="shared" si="2"/>
        <v>2.5087166666666665</v>
      </c>
    </row>
    <row r="62" spans="1:14" x14ac:dyDescent="0.3">
      <c r="A62" s="57" t="s">
        <v>126</v>
      </c>
      <c r="B62" s="58">
        <v>44728</v>
      </c>
      <c r="C62" s="57" t="s">
        <v>69</v>
      </c>
      <c r="D62" s="57">
        <v>1.5648599999999999</v>
      </c>
      <c r="F62" s="57">
        <v>1.59514</v>
      </c>
      <c r="H62" s="57">
        <v>2.0634299999999999</v>
      </c>
      <c r="I62" s="57">
        <v>2.7475700000000001</v>
      </c>
      <c r="J62" s="57">
        <v>3.6739999999999999</v>
      </c>
      <c r="L62" s="57">
        <f t="shared" si="0"/>
        <v>1.829285</v>
      </c>
      <c r="M62" s="57">
        <f t="shared" si="1"/>
        <v>2.2914766666666666</v>
      </c>
      <c r="N62" s="57">
        <f t="shared" si="2"/>
        <v>2.5195233333333333</v>
      </c>
    </row>
    <row r="63" spans="1:14" x14ac:dyDescent="0.3">
      <c r="A63" s="57" t="s">
        <v>125</v>
      </c>
      <c r="B63" s="58">
        <v>44729</v>
      </c>
      <c r="C63" s="57" t="s">
        <v>67</v>
      </c>
      <c r="D63" s="57">
        <v>1.5674300000000001</v>
      </c>
      <c r="F63" s="57">
        <v>1.61229</v>
      </c>
      <c r="H63" s="57">
        <v>2.0958600000000001</v>
      </c>
      <c r="I63" s="57">
        <v>2.78043</v>
      </c>
      <c r="J63" s="57">
        <v>3.5858599999999998</v>
      </c>
      <c r="L63" s="57">
        <f t="shared" si="0"/>
        <v>1.8540749999999999</v>
      </c>
      <c r="M63" s="57">
        <f t="shared" si="1"/>
        <v>2.3240500000000002</v>
      </c>
      <c r="N63" s="57">
        <f t="shared" si="2"/>
        <v>2.5522399999999998</v>
      </c>
    </row>
    <row r="64" spans="1:14" x14ac:dyDescent="0.3">
      <c r="A64" s="57" t="s">
        <v>124</v>
      </c>
      <c r="B64" s="58">
        <v>44732</v>
      </c>
      <c r="C64" s="57" t="s">
        <v>79</v>
      </c>
      <c r="F64" s="57">
        <v>1.62629</v>
      </c>
      <c r="H64" s="57">
        <v>2.1234299999999999</v>
      </c>
      <c r="I64" s="57">
        <v>2.8128600000000001</v>
      </c>
      <c r="J64" s="57">
        <v>3.6205699999999998</v>
      </c>
      <c r="L64" s="57">
        <f t="shared" si="0"/>
        <v>1.87486</v>
      </c>
      <c r="M64" s="57">
        <f t="shared" si="1"/>
        <v>2.35324</v>
      </c>
      <c r="N64" s="57">
        <f t="shared" si="2"/>
        <v>2.5830500000000001</v>
      </c>
    </row>
    <row r="65" spans="1:14" x14ac:dyDescent="0.3">
      <c r="A65" s="57" t="s">
        <v>123</v>
      </c>
      <c r="B65" s="58">
        <v>44733</v>
      </c>
      <c r="C65" s="57" t="s">
        <v>73</v>
      </c>
      <c r="D65" s="57">
        <v>1.575</v>
      </c>
      <c r="F65" s="57">
        <v>1.64157</v>
      </c>
      <c r="H65" s="57">
        <v>2.1544300000000001</v>
      </c>
      <c r="I65" s="57">
        <v>2.8418600000000001</v>
      </c>
      <c r="J65" s="57">
        <v>3.6254300000000002</v>
      </c>
      <c r="L65" s="57">
        <f t="shared" si="0"/>
        <v>1.8980000000000001</v>
      </c>
      <c r="M65" s="57">
        <f t="shared" si="1"/>
        <v>2.3835733333333335</v>
      </c>
      <c r="N65" s="57">
        <f t="shared" si="2"/>
        <v>2.6127166666666666</v>
      </c>
    </row>
    <row r="66" spans="1:14" x14ac:dyDescent="0.3">
      <c r="A66" s="57" t="s">
        <v>122</v>
      </c>
      <c r="B66" s="58">
        <v>44734</v>
      </c>
      <c r="C66" s="57" t="s">
        <v>71</v>
      </c>
      <c r="D66" s="57">
        <v>1.5712900000000001</v>
      </c>
      <c r="F66" s="57">
        <v>1.6327100000000001</v>
      </c>
      <c r="H66" s="57">
        <v>2.1845699999999999</v>
      </c>
      <c r="I66" s="57">
        <v>2.8265699999999998</v>
      </c>
      <c r="J66" s="57">
        <v>3.57986</v>
      </c>
      <c r="L66" s="57">
        <f t="shared" si="0"/>
        <v>1.9086400000000001</v>
      </c>
      <c r="M66" s="57">
        <f t="shared" si="1"/>
        <v>2.3985699999999999</v>
      </c>
      <c r="N66" s="57">
        <f t="shared" si="2"/>
        <v>2.6125699999999998</v>
      </c>
    </row>
    <row r="67" spans="1:14" x14ac:dyDescent="0.3">
      <c r="A67" s="57" t="s">
        <v>121</v>
      </c>
      <c r="B67" s="58">
        <v>44735</v>
      </c>
      <c r="C67" s="57" t="s">
        <v>69</v>
      </c>
      <c r="D67" s="57">
        <v>1.571</v>
      </c>
      <c r="F67" s="57">
        <v>1.62357</v>
      </c>
      <c r="H67" s="57">
        <v>2.1972900000000002</v>
      </c>
      <c r="I67" s="57">
        <v>2.8352900000000001</v>
      </c>
      <c r="J67" s="57">
        <v>3.53329</v>
      </c>
      <c r="L67" s="57">
        <f t="shared" si="0"/>
        <v>1.9104300000000001</v>
      </c>
      <c r="M67" s="57">
        <f t="shared" si="1"/>
        <v>2.409956666666667</v>
      </c>
      <c r="N67" s="57">
        <f t="shared" si="2"/>
        <v>2.6226233333333333</v>
      </c>
    </row>
    <row r="68" spans="1:14" x14ac:dyDescent="0.3">
      <c r="A68" s="57" t="s">
        <v>120</v>
      </c>
      <c r="B68" s="58">
        <v>44736</v>
      </c>
      <c r="C68" s="57" t="s">
        <v>67</v>
      </c>
      <c r="D68" s="57">
        <v>1.5761400000000001</v>
      </c>
      <c r="F68" s="57">
        <v>1.6327100000000001</v>
      </c>
      <c r="H68" s="57">
        <v>2.2344300000000001</v>
      </c>
      <c r="I68" s="57">
        <v>2.8665699999999998</v>
      </c>
      <c r="J68" s="57">
        <v>3.5447099999999998</v>
      </c>
      <c r="L68" s="57">
        <f t="shared" si="0"/>
        <v>1.93357</v>
      </c>
      <c r="M68" s="57">
        <f t="shared" si="1"/>
        <v>2.4451433333333332</v>
      </c>
      <c r="N68" s="57">
        <f t="shared" si="2"/>
        <v>2.6558566666666668</v>
      </c>
    </row>
    <row r="69" spans="1:14" x14ac:dyDescent="0.3">
      <c r="A69" s="57" t="s">
        <v>119</v>
      </c>
      <c r="B69" s="58">
        <v>44739</v>
      </c>
      <c r="C69" s="57" t="s">
        <v>79</v>
      </c>
      <c r="D69" s="57">
        <v>1.571</v>
      </c>
      <c r="F69" s="57">
        <v>1.65229</v>
      </c>
      <c r="H69" s="57">
        <v>2.2315700000000001</v>
      </c>
      <c r="I69" s="57">
        <v>2.8621400000000001</v>
      </c>
      <c r="J69" s="57">
        <v>3.5720000000000001</v>
      </c>
      <c r="L69" s="57">
        <f t="shared" si="0"/>
        <v>1.9419300000000002</v>
      </c>
      <c r="M69" s="57">
        <f t="shared" si="1"/>
        <v>2.4417599999999999</v>
      </c>
      <c r="N69" s="57">
        <f t="shared" si="2"/>
        <v>2.6519500000000003</v>
      </c>
    </row>
    <row r="70" spans="1:14" x14ac:dyDescent="0.3">
      <c r="A70" s="57" t="s">
        <v>118</v>
      </c>
      <c r="B70" s="58">
        <v>44740</v>
      </c>
      <c r="C70" s="57" t="s">
        <v>73</v>
      </c>
      <c r="D70" s="57">
        <v>1.5708599999999999</v>
      </c>
      <c r="F70" s="57">
        <v>1.66614</v>
      </c>
      <c r="H70" s="57">
        <v>2.2504300000000002</v>
      </c>
      <c r="I70" s="57">
        <v>2.8768600000000002</v>
      </c>
      <c r="J70" s="57">
        <v>3.6072899999999999</v>
      </c>
      <c r="L70" s="57">
        <f t="shared" si="0"/>
        <v>1.9582850000000001</v>
      </c>
      <c r="M70" s="57">
        <f t="shared" si="1"/>
        <v>2.4592400000000003</v>
      </c>
      <c r="N70" s="57">
        <f t="shared" si="2"/>
        <v>2.66805</v>
      </c>
    </row>
    <row r="71" spans="1:14" x14ac:dyDescent="0.3">
      <c r="A71" s="57" t="s">
        <v>117</v>
      </c>
      <c r="B71" s="58">
        <v>44741</v>
      </c>
      <c r="C71" s="57" t="s">
        <v>71</v>
      </c>
      <c r="D71" s="57">
        <v>1.57029</v>
      </c>
      <c r="F71" s="57">
        <v>1.7131400000000001</v>
      </c>
      <c r="H71" s="57">
        <v>2.2771400000000002</v>
      </c>
      <c r="I71" s="57">
        <v>2.9467099999999999</v>
      </c>
      <c r="J71" s="57">
        <v>3.6135700000000002</v>
      </c>
      <c r="L71" s="57">
        <f t="shared" si="0"/>
        <v>1.9951400000000001</v>
      </c>
      <c r="M71" s="57">
        <f t="shared" si="1"/>
        <v>2.5003299999999999</v>
      </c>
      <c r="N71" s="57">
        <f t="shared" si="2"/>
        <v>2.7235200000000002</v>
      </c>
    </row>
    <row r="72" spans="1:14" x14ac:dyDescent="0.3">
      <c r="A72" s="57" t="s">
        <v>116</v>
      </c>
      <c r="B72" s="58">
        <v>44742</v>
      </c>
      <c r="C72" s="57" t="s">
        <v>69</v>
      </c>
      <c r="D72" s="57">
        <v>1.579</v>
      </c>
      <c r="F72" s="57">
        <v>1.78671</v>
      </c>
      <c r="H72" s="57">
        <v>2.2851400000000002</v>
      </c>
      <c r="I72" s="57">
        <v>2.9351400000000001</v>
      </c>
      <c r="J72" s="57">
        <v>3.6190000000000002</v>
      </c>
      <c r="L72" s="57">
        <f t="shared" si="0"/>
        <v>2.0359250000000002</v>
      </c>
      <c r="M72" s="57">
        <f t="shared" si="1"/>
        <v>2.501806666666667</v>
      </c>
      <c r="N72" s="57">
        <f t="shared" si="2"/>
        <v>2.7184733333333333</v>
      </c>
    </row>
    <row r="73" spans="1:14" x14ac:dyDescent="0.3">
      <c r="A73" s="57" t="s">
        <v>115</v>
      </c>
      <c r="B73" s="58">
        <v>44743</v>
      </c>
      <c r="C73" s="57" t="s">
        <v>67</v>
      </c>
      <c r="D73" s="57">
        <v>1.5672900000000001</v>
      </c>
      <c r="F73" s="57">
        <v>1.7975699999999999</v>
      </c>
      <c r="H73" s="57">
        <v>2.2928600000000001</v>
      </c>
      <c r="I73" s="57">
        <v>2.8992900000000001</v>
      </c>
      <c r="J73" s="57">
        <v>3.5642900000000002</v>
      </c>
      <c r="L73" s="57">
        <f t="shared" si="0"/>
        <v>2.0452149999999998</v>
      </c>
      <c r="M73" s="57">
        <f t="shared" si="1"/>
        <v>2.4950033333333335</v>
      </c>
      <c r="N73" s="57">
        <f t="shared" si="2"/>
        <v>2.6971466666666668</v>
      </c>
    </row>
    <row r="74" spans="1:14" x14ac:dyDescent="0.3">
      <c r="A74" s="57" t="s">
        <v>114</v>
      </c>
      <c r="B74" s="58">
        <v>44746</v>
      </c>
      <c r="C74" s="57" t="s">
        <v>79</v>
      </c>
      <c r="F74" s="57">
        <v>1.77729</v>
      </c>
      <c r="H74" s="57">
        <v>2.3217099999999999</v>
      </c>
      <c r="I74" s="57">
        <v>2.9432900000000002</v>
      </c>
      <c r="J74" s="57">
        <v>3.5512899999999998</v>
      </c>
      <c r="L74" s="57">
        <f t="shared" si="0"/>
        <v>2.0495000000000001</v>
      </c>
      <c r="M74" s="57">
        <f t="shared" si="1"/>
        <v>2.5289033333333335</v>
      </c>
      <c r="N74" s="57">
        <f t="shared" si="2"/>
        <v>2.7360966666666666</v>
      </c>
    </row>
    <row r="75" spans="1:14" x14ac:dyDescent="0.3">
      <c r="A75" s="57" t="s">
        <v>113</v>
      </c>
      <c r="B75" s="58">
        <v>44747</v>
      </c>
      <c r="C75" s="57" t="s">
        <v>73</v>
      </c>
      <c r="D75" s="57">
        <v>1.5634300000000001</v>
      </c>
      <c r="F75" s="57">
        <v>1.7909999999999999</v>
      </c>
      <c r="H75" s="57">
        <v>2.34829</v>
      </c>
      <c r="I75" s="57">
        <v>2.9665699999999999</v>
      </c>
      <c r="J75" s="57">
        <v>3.5922900000000002</v>
      </c>
      <c r="L75" s="57">
        <f t="shared" si="0"/>
        <v>2.069645</v>
      </c>
      <c r="M75" s="57">
        <f t="shared" si="1"/>
        <v>2.5543833333333335</v>
      </c>
      <c r="N75" s="57">
        <f t="shared" si="2"/>
        <v>2.7604766666666665</v>
      </c>
    </row>
    <row r="76" spans="1:14" x14ac:dyDescent="0.3">
      <c r="A76" s="57" t="s">
        <v>112</v>
      </c>
      <c r="B76" s="58">
        <v>44748</v>
      </c>
      <c r="C76" s="57" t="s">
        <v>71</v>
      </c>
      <c r="D76" s="57">
        <v>1.56243</v>
      </c>
      <c r="F76" s="57">
        <v>1.8068599999999999</v>
      </c>
      <c r="H76" s="57">
        <v>2.3905699999999999</v>
      </c>
      <c r="I76" s="57">
        <v>2.9988600000000001</v>
      </c>
      <c r="J76" s="57">
        <v>3.5539999999999998</v>
      </c>
      <c r="L76" s="57">
        <f t="shared" si="0"/>
        <v>2.0987149999999999</v>
      </c>
      <c r="M76" s="57">
        <f t="shared" si="1"/>
        <v>2.5933333333333333</v>
      </c>
      <c r="N76" s="57">
        <f t="shared" si="2"/>
        <v>2.7960966666666667</v>
      </c>
    </row>
    <row r="77" spans="1:14" x14ac:dyDescent="0.3">
      <c r="A77" s="57" t="s">
        <v>111</v>
      </c>
      <c r="B77" s="58">
        <v>44749</v>
      </c>
      <c r="C77" s="57" t="s">
        <v>69</v>
      </c>
      <c r="D77" s="57">
        <v>1.5677099999999999</v>
      </c>
      <c r="F77" s="57">
        <v>1.8721399999999999</v>
      </c>
      <c r="H77" s="57">
        <v>2.4275699999999998</v>
      </c>
      <c r="I77" s="57">
        <v>3.0561400000000001</v>
      </c>
      <c r="J77" s="57">
        <v>3.6574300000000002</v>
      </c>
      <c r="L77" s="57">
        <f t="shared" si="0"/>
        <v>2.1498549999999996</v>
      </c>
      <c r="M77" s="57">
        <f t="shared" si="1"/>
        <v>2.6370933333333331</v>
      </c>
      <c r="N77" s="57">
        <f t="shared" si="2"/>
        <v>2.8466166666666668</v>
      </c>
    </row>
    <row r="78" spans="1:14" x14ac:dyDescent="0.3">
      <c r="A78" s="57" t="s">
        <v>110</v>
      </c>
      <c r="B78" s="58">
        <v>44750</v>
      </c>
      <c r="C78" s="57" t="s">
        <v>67</v>
      </c>
      <c r="D78" s="57">
        <v>1.56057</v>
      </c>
      <c r="F78" s="57">
        <v>1.89971</v>
      </c>
      <c r="H78" s="57">
        <v>2.423</v>
      </c>
      <c r="I78" s="57">
        <v>3.0484300000000002</v>
      </c>
      <c r="J78" s="57">
        <v>3.64486</v>
      </c>
      <c r="L78" s="57">
        <f t="shared" si="0"/>
        <v>2.1613549999999999</v>
      </c>
      <c r="M78" s="57">
        <f t="shared" si="1"/>
        <v>2.6314766666666669</v>
      </c>
      <c r="N78" s="57">
        <f t="shared" si="2"/>
        <v>2.8399533333333333</v>
      </c>
    </row>
    <row r="79" spans="1:14" x14ac:dyDescent="0.3">
      <c r="A79" s="57" t="s">
        <v>109</v>
      </c>
      <c r="B79" s="58">
        <v>44753</v>
      </c>
      <c r="C79" s="57" t="s">
        <v>79</v>
      </c>
      <c r="D79" s="57">
        <v>1.56386</v>
      </c>
      <c r="F79" s="57">
        <v>1.9644299999999999</v>
      </c>
      <c r="H79" s="57">
        <v>2.4551400000000001</v>
      </c>
      <c r="I79" s="57">
        <v>3.07043</v>
      </c>
      <c r="J79" s="57">
        <v>3.722</v>
      </c>
      <c r="L79" s="57">
        <f t="shared" si="0"/>
        <v>2.2097850000000001</v>
      </c>
      <c r="M79" s="57">
        <f t="shared" si="1"/>
        <v>2.6602366666666666</v>
      </c>
      <c r="N79" s="57">
        <f t="shared" si="2"/>
        <v>2.8653333333333335</v>
      </c>
    </row>
    <row r="80" spans="1:14" x14ac:dyDescent="0.3">
      <c r="A80" s="57" t="s">
        <v>108</v>
      </c>
      <c r="B80" s="58">
        <v>44754</v>
      </c>
      <c r="C80" s="57" t="s">
        <v>73</v>
      </c>
      <c r="D80" s="57">
        <v>1.56829</v>
      </c>
      <c r="F80" s="57">
        <v>1.97143</v>
      </c>
      <c r="H80" s="57">
        <v>2.4830000000000001</v>
      </c>
      <c r="I80" s="57">
        <v>3.0644300000000002</v>
      </c>
      <c r="J80" s="57">
        <v>3.6867100000000002</v>
      </c>
      <c r="L80" s="57">
        <f t="shared" si="0"/>
        <v>2.2272150000000002</v>
      </c>
      <c r="M80" s="57">
        <f t="shared" si="1"/>
        <v>2.6768100000000001</v>
      </c>
      <c r="N80" s="57">
        <f t="shared" si="2"/>
        <v>2.8706200000000002</v>
      </c>
    </row>
    <row r="81" spans="1:14" x14ac:dyDescent="0.3">
      <c r="A81" s="57" t="s">
        <v>107</v>
      </c>
      <c r="B81" s="58">
        <v>44755</v>
      </c>
      <c r="C81" s="57" t="s">
        <v>71</v>
      </c>
      <c r="D81" s="57">
        <v>1.5612900000000001</v>
      </c>
      <c r="F81" s="57">
        <v>1.9991399999999999</v>
      </c>
      <c r="H81" s="57">
        <v>2.512</v>
      </c>
      <c r="I81" s="57">
        <v>3.0609999999999999</v>
      </c>
      <c r="J81" s="57">
        <v>3.73414</v>
      </c>
      <c r="L81" s="57">
        <f t="shared" si="0"/>
        <v>2.2555700000000001</v>
      </c>
      <c r="M81" s="57">
        <f t="shared" si="1"/>
        <v>2.6949999999999998</v>
      </c>
      <c r="N81" s="57">
        <f t="shared" si="2"/>
        <v>2.8780000000000001</v>
      </c>
    </row>
    <row r="82" spans="1:14" x14ac:dyDescent="0.3">
      <c r="A82" s="57" t="s">
        <v>106</v>
      </c>
      <c r="B82" s="58">
        <v>44756</v>
      </c>
      <c r="C82" s="57" t="s">
        <v>69</v>
      </c>
      <c r="D82" s="57">
        <v>1.5581400000000001</v>
      </c>
      <c r="F82" s="57">
        <v>2.1560000000000001</v>
      </c>
      <c r="H82" s="57">
        <v>2.7402899999999999</v>
      </c>
      <c r="I82" s="57">
        <v>3.3812899999999999</v>
      </c>
      <c r="J82" s="57">
        <v>3.9782899999999999</v>
      </c>
      <c r="L82" s="57">
        <f t="shared" si="0"/>
        <v>2.4481450000000002</v>
      </c>
      <c r="M82" s="57">
        <f t="shared" si="1"/>
        <v>2.9539566666666666</v>
      </c>
      <c r="N82" s="57">
        <f t="shared" si="2"/>
        <v>3.1676233333333332</v>
      </c>
    </row>
    <row r="83" spans="1:14" x14ac:dyDescent="0.3">
      <c r="A83" s="57" t="s">
        <v>105</v>
      </c>
      <c r="B83" s="58">
        <v>44757</v>
      </c>
      <c r="C83" s="57" t="s">
        <v>67</v>
      </c>
      <c r="D83" s="57">
        <v>1.56514</v>
      </c>
      <c r="F83" s="57">
        <v>2.1202899999999998</v>
      </c>
      <c r="H83" s="57">
        <v>2.7375699999999998</v>
      </c>
      <c r="I83" s="57">
        <v>3.3112900000000001</v>
      </c>
      <c r="J83" s="57">
        <v>3.8964300000000001</v>
      </c>
      <c r="L83" s="57">
        <f t="shared" ref="L83:L103" si="3">(H83-F83)/2+F83</f>
        <v>2.4289299999999998</v>
      </c>
      <c r="M83" s="57">
        <f t="shared" ref="M83:M103" si="4">(I83-H83)/3+H83</f>
        <v>2.9288099999999999</v>
      </c>
      <c r="N83" s="57">
        <f t="shared" ref="N83:N103" si="5">(I83-H83)/3*2+H83</f>
        <v>3.12005</v>
      </c>
    </row>
    <row r="84" spans="1:14" x14ac:dyDescent="0.3">
      <c r="A84" s="57" t="s">
        <v>104</v>
      </c>
      <c r="B84" s="58">
        <v>44760</v>
      </c>
      <c r="C84" s="57" t="s">
        <v>79</v>
      </c>
      <c r="D84" s="57">
        <v>1.5701400000000001</v>
      </c>
      <c r="F84" s="57">
        <v>2.12643</v>
      </c>
      <c r="H84" s="57">
        <v>2.7098599999999999</v>
      </c>
      <c r="I84" s="57">
        <v>3.2674300000000001</v>
      </c>
      <c r="J84" s="57">
        <v>3.863</v>
      </c>
      <c r="L84" s="57">
        <f t="shared" si="3"/>
        <v>2.418145</v>
      </c>
      <c r="M84" s="57">
        <f t="shared" si="4"/>
        <v>2.8957166666666665</v>
      </c>
      <c r="N84" s="57">
        <f t="shared" si="5"/>
        <v>3.0815733333333335</v>
      </c>
    </row>
    <row r="85" spans="1:14" x14ac:dyDescent="0.3">
      <c r="A85" s="57" t="s">
        <v>103</v>
      </c>
      <c r="B85" s="58">
        <v>44761</v>
      </c>
      <c r="C85" s="57" t="s">
        <v>73</v>
      </c>
      <c r="D85" s="57">
        <v>1.5621400000000001</v>
      </c>
      <c r="F85" s="57">
        <v>2.1615700000000002</v>
      </c>
      <c r="H85" s="57">
        <v>2.7317100000000001</v>
      </c>
      <c r="I85" s="57">
        <v>3.2988599999999999</v>
      </c>
      <c r="J85" s="57">
        <v>3.86957</v>
      </c>
      <c r="L85" s="57">
        <f t="shared" si="3"/>
        <v>2.4466400000000004</v>
      </c>
      <c r="M85" s="57">
        <f t="shared" si="4"/>
        <v>2.92076</v>
      </c>
      <c r="N85" s="57">
        <f t="shared" si="5"/>
        <v>3.10981</v>
      </c>
    </row>
    <row r="86" spans="1:14" x14ac:dyDescent="0.3">
      <c r="A86" s="57" t="s">
        <v>102</v>
      </c>
      <c r="B86" s="58">
        <v>44762</v>
      </c>
      <c r="C86" s="57" t="s">
        <v>71</v>
      </c>
      <c r="D86" s="57">
        <v>1.56914</v>
      </c>
      <c r="F86" s="57">
        <v>2.2135699999999998</v>
      </c>
      <c r="H86" s="57">
        <v>2.7589999999999999</v>
      </c>
      <c r="I86" s="57">
        <v>3.33386</v>
      </c>
      <c r="J86" s="57">
        <v>3.8929999999999998</v>
      </c>
      <c r="L86" s="57">
        <f t="shared" si="3"/>
        <v>2.4862849999999996</v>
      </c>
      <c r="M86" s="57">
        <f t="shared" si="4"/>
        <v>2.9506199999999998</v>
      </c>
      <c r="N86" s="57">
        <f t="shared" si="5"/>
        <v>3.1422400000000001</v>
      </c>
    </row>
    <row r="87" spans="1:14" x14ac:dyDescent="0.3">
      <c r="A87" s="57" t="s">
        <v>101</v>
      </c>
      <c r="B87" s="58">
        <v>44763</v>
      </c>
      <c r="C87" s="57" t="s">
        <v>69</v>
      </c>
      <c r="D87" s="57">
        <v>1.5657099999999999</v>
      </c>
      <c r="F87" s="57">
        <v>2.2589999999999999</v>
      </c>
      <c r="H87" s="57">
        <v>2.7829999999999999</v>
      </c>
      <c r="I87" s="57">
        <v>3.3774299999999999</v>
      </c>
      <c r="J87" s="57">
        <v>3.9187099999999999</v>
      </c>
      <c r="L87" s="57">
        <f t="shared" si="3"/>
        <v>2.5209999999999999</v>
      </c>
      <c r="M87" s="57">
        <f t="shared" si="4"/>
        <v>2.9811433333333333</v>
      </c>
      <c r="N87" s="57">
        <f t="shared" si="5"/>
        <v>3.1792866666666666</v>
      </c>
    </row>
    <row r="88" spans="1:14" x14ac:dyDescent="0.3">
      <c r="A88" s="57" t="s">
        <v>100</v>
      </c>
      <c r="B88" s="58">
        <v>44764</v>
      </c>
      <c r="C88" s="57" t="s">
        <v>67</v>
      </c>
      <c r="D88" s="57">
        <v>1.56457</v>
      </c>
      <c r="F88" s="57">
        <v>2.2522899999999999</v>
      </c>
      <c r="H88" s="57">
        <v>2.7662900000000001</v>
      </c>
      <c r="I88" s="57">
        <v>3.3228599999999999</v>
      </c>
      <c r="J88" s="57">
        <v>3.8142900000000002</v>
      </c>
      <c r="L88" s="57">
        <f t="shared" si="3"/>
        <v>2.50929</v>
      </c>
      <c r="M88" s="57">
        <f t="shared" si="4"/>
        <v>2.9518133333333334</v>
      </c>
      <c r="N88" s="57">
        <f t="shared" si="5"/>
        <v>3.1373366666666667</v>
      </c>
    </row>
    <row r="89" spans="1:14" x14ac:dyDescent="0.3">
      <c r="A89" s="57" t="s">
        <v>99</v>
      </c>
      <c r="B89" s="58">
        <v>44767</v>
      </c>
      <c r="C89" s="57" t="s">
        <v>79</v>
      </c>
      <c r="D89" s="57">
        <v>1.56586</v>
      </c>
      <c r="F89" s="57">
        <v>2.2997100000000001</v>
      </c>
      <c r="H89" s="57">
        <v>2.7692899999999998</v>
      </c>
      <c r="I89" s="57">
        <v>3.2852899999999998</v>
      </c>
      <c r="J89" s="57">
        <v>3.77529</v>
      </c>
      <c r="L89" s="57">
        <f t="shared" si="3"/>
        <v>2.5345</v>
      </c>
      <c r="M89" s="57">
        <f t="shared" si="4"/>
        <v>2.94129</v>
      </c>
      <c r="N89" s="57">
        <f t="shared" si="5"/>
        <v>3.1132899999999997</v>
      </c>
    </row>
    <row r="90" spans="1:14" x14ac:dyDescent="0.3">
      <c r="A90" s="57" t="s">
        <v>98</v>
      </c>
      <c r="B90" s="58">
        <v>44768</v>
      </c>
      <c r="C90" s="57" t="s">
        <v>73</v>
      </c>
      <c r="D90" s="57">
        <v>1.5594300000000001</v>
      </c>
      <c r="F90" s="57">
        <v>2.3460000000000001</v>
      </c>
      <c r="H90" s="57">
        <v>2.7928600000000001</v>
      </c>
      <c r="I90" s="57">
        <v>3.3464299999999998</v>
      </c>
      <c r="J90" s="57">
        <v>3.8069999999999999</v>
      </c>
      <c r="L90" s="57">
        <f t="shared" si="3"/>
        <v>2.5694300000000001</v>
      </c>
      <c r="M90" s="57">
        <f t="shared" si="4"/>
        <v>2.9773833333333335</v>
      </c>
      <c r="N90" s="57">
        <f t="shared" si="5"/>
        <v>3.1619066666666664</v>
      </c>
    </row>
    <row r="91" spans="1:14" x14ac:dyDescent="0.3">
      <c r="A91" s="57" t="s">
        <v>97</v>
      </c>
      <c r="B91" s="58">
        <v>44769</v>
      </c>
      <c r="C91" s="57" t="s">
        <v>71</v>
      </c>
      <c r="D91" s="57">
        <v>1.5634300000000001</v>
      </c>
      <c r="F91" s="57">
        <v>2.37229</v>
      </c>
      <c r="H91" s="57">
        <v>2.80586</v>
      </c>
      <c r="I91" s="57">
        <v>3.3707099999999999</v>
      </c>
      <c r="J91" s="57">
        <v>3.8119999999999998</v>
      </c>
      <c r="L91" s="57">
        <f t="shared" si="3"/>
        <v>2.5890750000000002</v>
      </c>
      <c r="M91" s="57">
        <f t="shared" si="4"/>
        <v>2.9941433333333332</v>
      </c>
      <c r="N91" s="57">
        <f t="shared" si="5"/>
        <v>3.1824266666666667</v>
      </c>
    </row>
    <row r="92" spans="1:14" x14ac:dyDescent="0.3">
      <c r="A92" s="57" t="s">
        <v>96</v>
      </c>
      <c r="B92" s="58">
        <v>44770</v>
      </c>
      <c r="C92" s="57" t="s">
        <v>69</v>
      </c>
      <c r="D92" s="57">
        <v>2.3034300000000001</v>
      </c>
      <c r="F92" s="57">
        <v>2.3731399999999998</v>
      </c>
      <c r="H92" s="57">
        <v>2.7822900000000002</v>
      </c>
      <c r="I92" s="57">
        <v>3.3407100000000001</v>
      </c>
      <c r="J92" s="57">
        <v>3.76214</v>
      </c>
      <c r="L92" s="57">
        <f t="shared" si="3"/>
        <v>2.577715</v>
      </c>
      <c r="M92" s="57">
        <f t="shared" si="4"/>
        <v>2.9684300000000001</v>
      </c>
      <c r="N92" s="57">
        <f t="shared" si="5"/>
        <v>3.1545700000000001</v>
      </c>
    </row>
    <row r="93" spans="1:14" x14ac:dyDescent="0.3">
      <c r="A93" s="57" t="s">
        <v>95</v>
      </c>
      <c r="B93" s="58">
        <v>44771</v>
      </c>
      <c r="C93" s="57" t="s">
        <v>67</v>
      </c>
      <c r="D93" s="57">
        <v>2.3215699999999999</v>
      </c>
      <c r="F93" s="57">
        <v>2.3622899999999998</v>
      </c>
      <c r="H93" s="57">
        <v>2.7882899999999999</v>
      </c>
      <c r="I93" s="57">
        <v>3.32986</v>
      </c>
      <c r="J93" s="57">
        <v>3.70729</v>
      </c>
      <c r="L93" s="57">
        <f t="shared" si="3"/>
        <v>2.5752899999999999</v>
      </c>
      <c r="M93" s="57">
        <f t="shared" si="4"/>
        <v>2.9688133333333333</v>
      </c>
      <c r="N93" s="57">
        <f t="shared" si="5"/>
        <v>3.1493366666666667</v>
      </c>
    </row>
    <row r="94" spans="1:14" x14ac:dyDescent="0.3">
      <c r="A94" s="57" t="s">
        <v>94</v>
      </c>
      <c r="B94" s="58">
        <v>44774</v>
      </c>
      <c r="C94" s="57" t="s">
        <v>79</v>
      </c>
      <c r="D94" s="57">
        <v>2.3115700000000001</v>
      </c>
      <c r="F94" s="57">
        <v>2.36686</v>
      </c>
      <c r="H94" s="57">
        <v>2.8021400000000001</v>
      </c>
      <c r="I94" s="57">
        <v>3.3761399999999999</v>
      </c>
      <c r="J94" s="57">
        <v>3.74214</v>
      </c>
      <c r="L94" s="57">
        <f t="shared" si="3"/>
        <v>2.5845000000000002</v>
      </c>
      <c r="M94" s="57">
        <f t="shared" si="4"/>
        <v>2.9934733333333332</v>
      </c>
      <c r="N94" s="57">
        <f t="shared" si="5"/>
        <v>3.1848066666666668</v>
      </c>
    </row>
    <row r="95" spans="1:14" x14ac:dyDescent="0.3">
      <c r="A95" s="57" t="s">
        <v>93</v>
      </c>
      <c r="B95" s="58">
        <v>44775</v>
      </c>
      <c r="C95" s="57" t="s">
        <v>73</v>
      </c>
      <c r="D95" s="57">
        <v>2.30714</v>
      </c>
      <c r="F95" s="57">
        <v>2.3572899999999999</v>
      </c>
      <c r="H95" s="57">
        <v>2.8069999999999999</v>
      </c>
      <c r="I95" s="57">
        <v>3.3134299999999999</v>
      </c>
      <c r="J95" s="57">
        <v>3.7077100000000001</v>
      </c>
      <c r="L95" s="57">
        <f t="shared" si="3"/>
        <v>2.5821449999999997</v>
      </c>
      <c r="M95" s="57">
        <f t="shared" si="4"/>
        <v>2.9758100000000001</v>
      </c>
      <c r="N95" s="57">
        <f t="shared" si="5"/>
        <v>3.1446199999999997</v>
      </c>
    </row>
    <row r="96" spans="1:14" x14ac:dyDescent="0.3">
      <c r="A96" s="57" t="s">
        <v>92</v>
      </c>
      <c r="B96" s="58">
        <v>44776</v>
      </c>
      <c r="C96" s="57" t="s">
        <v>71</v>
      </c>
      <c r="D96" s="57">
        <v>2.3102900000000002</v>
      </c>
      <c r="F96" s="57">
        <v>2.37629</v>
      </c>
      <c r="H96" s="57">
        <v>2.83229</v>
      </c>
      <c r="I96" s="57">
        <v>3.3889999999999998</v>
      </c>
      <c r="J96" s="57">
        <v>3.84314</v>
      </c>
      <c r="L96" s="57">
        <f t="shared" si="3"/>
        <v>2.6042899999999998</v>
      </c>
      <c r="M96" s="57">
        <f t="shared" si="4"/>
        <v>3.0178599999999998</v>
      </c>
      <c r="N96" s="57">
        <f t="shared" si="5"/>
        <v>3.20343</v>
      </c>
    </row>
    <row r="97" spans="1:14" x14ac:dyDescent="0.3">
      <c r="A97" s="57" t="s">
        <v>91</v>
      </c>
      <c r="B97" s="58">
        <v>44777</v>
      </c>
      <c r="C97" s="57" t="s">
        <v>69</v>
      </c>
      <c r="D97" s="57">
        <v>2.3095699999999999</v>
      </c>
      <c r="F97" s="57">
        <v>2.3727100000000001</v>
      </c>
      <c r="H97" s="57">
        <v>2.8632900000000001</v>
      </c>
      <c r="I97" s="57">
        <v>3.3927100000000001</v>
      </c>
      <c r="J97" s="57">
        <v>3.879</v>
      </c>
      <c r="L97" s="57">
        <f t="shared" si="3"/>
        <v>2.6180000000000003</v>
      </c>
      <c r="M97" s="57">
        <f t="shared" si="4"/>
        <v>3.0397633333333336</v>
      </c>
      <c r="N97" s="57">
        <f t="shared" si="5"/>
        <v>3.2162366666666666</v>
      </c>
    </row>
    <row r="98" spans="1:14" x14ac:dyDescent="0.3">
      <c r="A98" s="57" t="s">
        <v>90</v>
      </c>
      <c r="B98" s="58">
        <v>44778</v>
      </c>
      <c r="C98" s="57" t="s">
        <v>67</v>
      </c>
      <c r="D98" s="57">
        <v>2.3119999999999998</v>
      </c>
      <c r="F98" s="57">
        <v>2.3694299999999999</v>
      </c>
      <c r="H98" s="57">
        <v>2.8667099999999999</v>
      </c>
      <c r="I98" s="57">
        <v>3.42557</v>
      </c>
      <c r="J98" s="57">
        <v>3.8598599999999998</v>
      </c>
      <c r="L98" s="57">
        <f t="shared" si="3"/>
        <v>2.6180699999999999</v>
      </c>
      <c r="M98" s="57">
        <f t="shared" si="4"/>
        <v>3.0529966666666666</v>
      </c>
      <c r="N98" s="57">
        <f t="shared" si="5"/>
        <v>3.2392833333333333</v>
      </c>
    </row>
    <row r="99" spans="1:14" x14ac:dyDescent="0.3">
      <c r="A99" s="57" t="s">
        <v>89</v>
      </c>
      <c r="B99" s="58">
        <v>44781</v>
      </c>
      <c r="C99" s="57" t="s">
        <v>79</v>
      </c>
      <c r="D99" s="57">
        <v>2.3172899999999998</v>
      </c>
      <c r="F99" s="57">
        <v>2.3885700000000001</v>
      </c>
      <c r="H99" s="57">
        <v>2.9115700000000002</v>
      </c>
      <c r="I99" s="57">
        <v>3.5688599999999999</v>
      </c>
      <c r="J99" s="57">
        <v>3.99471</v>
      </c>
      <c r="L99" s="57">
        <f t="shared" si="3"/>
        <v>2.6500700000000004</v>
      </c>
      <c r="M99" s="57">
        <f t="shared" si="4"/>
        <v>3.1306666666666669</v>
      </c>
      <c r="N99" s="57">
        <f t="shared" si="5"/>
        <v>3.3497633333333332</v>
      </c>
    </row>
    <row r="100" spans="1:14" x14ac:dyDescent="0.3">
      <c r="A100" s="57" t="s">
        <v>88</v>
      </c>
      <c r="B100" s="58">
        <v>44782</v>
      </c>
      <c r="C100" s="57" t="s">
        <v>73</v>
      </c>
      <c r="D100" s="57">
        <v>2.3180000000000001</v>
      </c>
      <c r="F100" s="57">
        <v>2.3801399999999999</v>
      </c>
      <c r="H100" s="57">
        <v>2.9209999999999998</v>
      </c>
      <c r="I100" s="57">
        <v>3.55043</v>
      </c>
      <c r="J100" s="57">
        <v>3.9908600000000001</v>
      </c>
      <c r="L100" s="57">
        <f t="shared" si="3"/>
        <v>2.6505700000000001</v>
      </c>
      <c r="M100" s="57">
        <f t="shared" si="4"/>
        <v>3.1308099999999999</v>
      </c>
      <c r="N100" s="57">
        <f t="shared" si="5"/>
        <v>3.3406199999999999</v>
      </c>
    </row>
    <row r="101" spans="1:14" x14ac:dyDescent="0.3">
      <c r="A101" s="57" t="s">
        <v>87</v>
      </c>
      <c r="B101" s="58">
        <v>44783</v>
      </c>
      <c r="C101" s="57" t="s">
        <v>71</v>
      </c>
      <c r="D101" s="57">
        <v>2.31629</v>
      </c>
      <c r="F101" s="57">
        <v>2.4004300000000001</v>
      </c>
      <c r="H101" s="57">
        <v>2.9227099999999999</v>
      </c>
      <c r="I101" s="57">
        <v>3.54657</v>
      </c>
      <c r="J101" s="57">
        <v>3.9981399999999998</v>
      </c>
      <c r="L101" s="57">
        <f t="shared" si="3"/>
        <v>2.6615700000000002</v>
      </c>
      <c r="M101" s="57">
        <f t="shared" si="4"/>
        <v>3.1306633333333331</v>
      </c>
      <c r="N101" s="57">
        <f t="shared" si="5"/>
        <v>3.3386166666666668</v>
      </c>
    </row>
    <row r="102" spans="1:14" x14ac:dyDescent="0.3">
      <c r="A102" s="57" t="s">
        <v>86</v>
      </c>
      <c r="B102" s="58">
        <v>44784</v>
      </c>
      <c r="C102" s="57" t="s">
        <v>69</v>
      </c>
      <c r="D102" s="57">
        <v>2.3239999999999998</v>
      </c>
      <c r="F102" s="57">
        <v>2.391</v>
      </c>
      <c r="H102" s="57">
        <v>2.9051399999999998</v>
      </c>
      <c r="I102" s="57">
        <v>3.4887100000000002</v>
      </c>
      <c r="J102" s="57">
        <v>3.92814</v>
      </c>
      <c r="L102" s="57">
        <f t="shared" si="3"/>
        <v>2.6480699999999997</v>
      </c>
      <c r="M102" s="57">
        <f t="shared" si="4"/>
        <v>3.0996633333333334</v>
      </c>
      <c r="N102" s="57">
        <f t="shared" si="5"/>
        <v>3.2941866666666666</v>
      </c>
    </row>
    <row r="103" spans="1:14" x14ac:dyDescent="0.3">
      <c r="A103" s="57" t="s">
        <v>85</v>
      </c>
      <c r="B103" s="58">
        <v>44785</v>
      </c>
      <c r="C103" s="57" t="s">
        <v>67</v>
      </c>
      <c r="D103" s="57">
        <v>2.3148599999999999</v>
      </c>
      <c r="F103" s="57">
        <v>2.38686</v>
      </c>
      <c r="H103" s="57">
        <v>2.92157</v>
      </c>
      <c r="I103" s="57">
        <v>3.50929</v>
      </c>
      <c r="J103" s="57">
        <v>3.9590000000000001</v>
      </c>
      <c r="L103" s="57">
        <f t="shared" si="3"/>
        <v>2.6542149999999998</v>
      </c>
      <c r="M103" s="57">
        <f t="shared" si="4"/>
        <v>3.1174766666666667</v>
      </c>
      <c r="N103" s="57">
        <f t="shared" si="5"/>
        <v>3.3133833333333333</v>
      </c>
    </row>
    <row r="104" spans="1:14" x14ac:dyDescent="0.3">
      <c r="A104" s="57" t="s">
        <v>84</v>
      </c>
      <c r="B104" s="58">
        <v>44788</v>
      </c>
      <c r="C104" s="57" t="s">
        <v>79</v>
      </c>
    </row>
    <row r="105" spans="1:14" x14ac:dyDescent="0.3">
      <c r="A105" s="57" t="s">
        <v>83</v>
      </c>
      <c r="B105" s="58">
        <v>44789</v>
      </c>
      <c r="C105" s="57" t="s">
        <v>73</v>
      </c>
    </row>
    <row r="106" spans="1:14" x14ac:dyDescent="0.3">
      <c r="A106" s="57" t="s">
        <v>82</v>
      </c>
      <c r="B106" s="58">
        <v>44790</v>
      </c>
      <c r="C106" s="57" t="s">
        <v>71</v>
      </c>
      <c r="D106" s="57">
        <v>2.3135699999999999</v>
      </c>
      <c r="F106" s="57">
        <v>2.36557</v>
      </c>
      <c r="H106" s="57">
        <v>2.9765700000000002</v>
      </c>
      <c r="I106" s="57">
        <v>3.5077099999999999</v>
      </c>
      <c r="J106" s="57">
        <v>3.9955699999999998</v>
      </c>
    </row>
    <row r="107" spans="1:14" x14ac:dyDescent="0.3">
      <c r="A107" s="57" t="s">
        <v>81</v>
      </c>
      <c r="B107" s="58">
        <v>44791</v>
      </c>
      <c r="C107" s="57" t="s">
        <v>69</v>
      </c>
      <c r="D107" s="57">
        <v>2.31786</v>
      </c>
      <c r="F107" s="57">
        <v>2.3681399999999999</v>
      </c>
      <c r="H107" s="57">
        <v>2.984</v>
      </c>
      <c r="I107" s="57">
        <v>3.5075699999999999</v>
      </c>
      <c r="J107" s="57">
        <v>3.9957099999999999</v>
      </c>
    </row>
    <row r="108" spans="1:14" x14ac:dyDescent="0.3">
      <c r="A108" s="57" t="s">
        <v>80</v>
      </c>
      <c r="B108" s="58">
        <v>44792</v>
      </c>
      <c r="C108" s="57" t="s">
        <v>67</v>
      </c>
      <c r="D108" s="57">
        <v>2.3211400000000002</v>
      </c>
      <c r="F108" s="57">
        <v>2.3867099999999999</v>
      </c>
      <c r="H108" s="57">
        <v>2.9577100000000001</v>
      </c>
      <c r="I108" s="57">
        <v>3.5475699999999999</v>
      </c>
      <c r="J108" s="57">
        <v>4.01586</v>
      </c>
    </row>
    <row r="109" spans="1:14" x14ac:dyDescent="0.3">
      <c r="A109" s="57" t="s">
        <v>78</v>
      </c>
      <c r="B109" s="58">
        <v>44795</v>
      </c>
      <c r="C109" s="57" t="s">
        <v>79</v>
      </c>
      <c r="D109" s="57">
        <v>2.3171400000000002</v>
      </c>
      <c r="F109" s="57">
        <v>2.4274300000000002</v>
      </c>
      <c r="H109" s="57">
        <v>2.9797099999999999</v>
      </c>
      <c r="I109" s="57">
        <v>3.5655700000000001</v>
      </c>
      <c r="J109" s="57">
        <v>4.0321400000000001</v>
      </c>
    </row>
    <row r="110" spans="1:14" x14ac:dyDescent="0.3">
      <c r="A110" s="57" t="s">
        <v>77</v>
      </c>
      <c r="B110" s="58">
        <v>44796</v>
      </c>
      <c r="C110" s="57" t="s">
        <v>73</v>
      </c>
      <c r="D110" s="57">
        <v>2.31257</v>
      </c>
      <c r="F110" s="57">
        <v>2.4437099999999998</v>
      </c>
      <c r="H110" s="57">
        <v>2.9968599999999999</v>
      </c>
      <c r="I110" s="57">
        <v>3.5655700000000001</v>
      </c>
      <c r="J110" s="57">
        <v>4.0911400000000002</v>
      </c>
    </row>
    <row r="111" spans="1:14" x14ac:dyDescent="0.3">
      <c r="A111" s="57" t="s">
        <v>76</v>
      </c>
      <c r="B111" s="58">
        <v>44797</v>
      </c>
      <c r="C111" s="57" t="s">
        <v>71</v>
      </c>
      <c r="D111" s="57">
        <v>2.3214299999999999</v>
      </c>
      <c r="F111" s="57">
        <v>2.45486</v>
      </c>
      <c r="H111" s="57">
        <v>3.01</v>
      </c>
      <c r="I111" s="57">
        <v>3.49343</v>
      </c>
      <c r="J111" s="57">
        <v>4.0791399999999998</v>
      </c>
    </row>
    <row r="112" spans="1:14" x14ac:dyDescent="0.3">
      <c r="A112" s="57" t="s">
        <v>75</v>
      </c>
      <c r="B112" s="58">
        <v>44798</v>
      </c>
      <c r="C112" s="57" t="s">
        <v>69</v>
      </c>
      <c r="D112" s="57">
        <v>2.32043</v>
      </c>
      <c r="F112" s="57">
        <v>2.49343</v>
      </c>
      <c r="H112" s="57">
        <v>3.0431400000000002</v>
      </c>
      <c r="I112" s="57">
        <v>3.5268600000000001</v>
      </c>
      <c r="J112" s="57">
        <v>4.0972900000000001</v>
      </c>
    </row>
    <row r="113" spans="1:12" x14ac:dyDescent="0.3">
      <c r="A113" s="57" t="s">
        <v>74</v>
      </c>
      <c r="B113" s="58">
        <v>44799</v>
      </c>
      <c r="C113" s="57" t="s">
        <v>67</v>
      </c>
      <c r="D113" s="57">
        <v>2.3091400000000002</v>
      </c>
      <c r="F113" s="57">
        <v>2.52386</v>
      </c>
      <c r="H113" s="57">
        <v>3.0695700000000001</v>
      </c>
      <c r="I113" s="57">
        <v>3.56643</v>
      </c>
      <c r="J113" s="57">
        <v>4.1232899999999999</v>
      </c>
    </row>
    <row r="114" spans="1:12" x14ac:dyDescent="0.3">
      <c r="A114" s="57" t="s">
        <v>72</v>
      </c>
      <c r="B114" s="58">
        <v>44803</v>
      </c>
      <c r="C114" s="57" t="s">
        <v>73</v>
      </c>
      <c r="D114" s="57">
        <v>2.30829</v>
      </c>
      <c r="F114" s="57">
        <v>2.5640000000000001</v>
      </c>
      <c r="H114" s="57">
        <v>3.0821399999999999</v>
      </c>
      <c r="I114" s="57">
        <v>3.5954299999999999</v>
      </c>
      <c r="J114" s="57">
        <v>4.1598600000000001</v>
      </c>
    </row>
    <row r="115" spans="1:12" x14ac:dyDescent="0.3">
      <c r="A115" s="57" t="s">
        <v>70</v>
      </c>
      <c r="B115" s="58">
        <v>44804</v>
      </c>
      <c r="C115" s="57" t="s">
        <v>71</v>
      </c>
      <c r="D115" s="57">
        <v>2.31629</v>
      </c>
      <c r="F115" s="57">
        <v>2.6332900000000001</v>
      </c>
      <c r="H115" s="57">
        <v>3.09971</v>
      </c>
      <c r="I115" s="57">
        <v>3.6605699999999999</v>
      </c>
      <c r="J115" s="57">
        <v>4.2231399999999999</v>
      </c>
    </row>
    <row r="116" spans="1:12" x14ac:dyDescent="0.3">
      <c r="A116" s="57" t="s">
        <v>68</v>
      </c>
      <c r="B116" s="58">
        <v>44805</v>
      </c>
      <c r="C116" s="57" t="s">
        <v>69</v>
      </c>
      <c r="D116" s="57">
        <v>2.3199999999999998</v>
      </c>
      <c r="F116" s="57">
        <v>2.6332900000000001</v>
      </c>
      <c r="H116" s="57">
        <v>3.1441400000000002</v>
      </c>
      <c r="I116" s="57">
        <v>3.7017099999999998</v>
      </c>
      <c r="J116" s="57">
        <v>4.2094300000000002</v>
      </c>
    </row>
    <row r="117" spans="1:12" x14ac:dyDescent="0.3">
      <c r="A117" s="57" t="s">
        <v>66</v>
      </c>
      <c r="B117" s="58">
        <v>44806</v>
      </c>
      <c r="C117" s="57" t="s">
        <v>67</v>
      </c>
      <c r="D117" s="57">
        <v>2.3147099999999998</v>
      </c>
      <c r="F117" s="57">
        <v>2.65571</v>
      </c>
      <c r="H117" s="57">
        <v>3.1581399999999999</v>
      </c>
      <c r="I117" s="57">
        <v>3.7365699999999999</v>
      </c>
      <c r="J117" s="57">
        <v>4.2205700000000004</v>
      </c>
      <c r="K117" s="58">
        <f>DATE(RIGHT(A117,4),MID(A117,4,2),LEFT(A117,2))</f>
        <v>44806</v>
      </c>
      <c r="L117" s="58"/>
    </row>
  </sheetData>
  <sortState xmlns:xlrd2="http://schemas.microsoft.com/office/spreadsheetml/2017/richdata2" ref="A5:I14">
    <sortCondition ref="A5:A14"/>
  </sortState>
  <mergeCells count="2">
    <mergeCell ref="D3:J3"/>
    <mergeCell ref="L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FV and PL general example</vt:lpstr>
      <vt:lpstr>FV and PL_forward</vt:lpstr>
      <vt:lpstr>PL after expiration_options</vt:lpstr>
      <vt:lpstr>FV_option_BlackSholes</vt:lpstr>
      <vt:lpstr>FV_option_BS</vt:lpstr>
      <vt:lpstr>FV and PL int rate swap</vt:lpstr>
      <vt:lpstr>Interest accrual</vt:lpstr>
      <vt:lpstr>LIBOR USD</vt:lpstr>
      <vt:lpstr>_Nd1</vt:lpstr>
      <vt:lpstr>_Nd2</vt:lpstr>
      <vt:lpstr>_vd1</vt:lpstr>
      <vt:lpstr>_vd2</vt:lpstr>
      <vt:lpstr>DividendYield</vt:lpstr>
      <vt:lpstr>N_dash_d1</vt:lpstr>
      <vt:lpstr>RiskFreeRate</vt:lpstr>
      <vt:lpstr>sigma</vt:lpstr>
      <vt:lpstr>SpotPrice</vt:lpstr>
      <vt:lpstr>TimeToMaturity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2023-03-13T14:40:04Z</dcterms:modified>
</cp:coreProperties>
</file>