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13" documentId="13_ncr:1_{89A47F96-0777-448C-9615-2273268ECB66}" xr6:coauthVersionLast="47" xr6:coauthVersionMax="47" xr10:uidLastSave="{EF6271E2-8AD8-441E-B0CC-0CC01FB5F500}"/>
  <bookViews>
    <workbookView xWindow="-108" yWindow="-108" windowWidth="23256" windowHeight="12576" firstSheet="3" activeTab="3" xr2:uid="{00000000-000D-0000-FFFF-FFFF00000000}"/>
  </bookViews>
  <sheets>
    <sheet name="graphs" sheetId="4" state="hidden" r:id="rId1"/>
    <sheet name="вопросы" sheetId="5" state="hidden" r:id="rId2"/>
    <sheet name="REPO" sheetId="7" state="hidden" r:id="rId3"/>
    <sheet name="Physical" sheetId="1" r:id="rId4"/>
    <sheet name="Regulatory" sheetId="2" r:id="rId5"/>
    <sheet name="cannibalization" sheetId="6" r:id="rId6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1" l="1"/>
  <c r="D81" i="1"/>
  <c r="D75" i="1"/>
  <c r="C7" i="7" l="1"/>
  <c r="D50" i="4"/>
  <c r="E50" i="4" s="1"/>
  <c r="F50" i="4" s="1"/>
  <c r="E7" i="6" l="1"/>
  <c r="F5" i="6"/>
  <c r="F4" i="6"/>
  <c r="E8" i="6" l="1"/>
  <c r="H23" i="4"/>
  <c r="H24" i="4"/>
  <c r="H25" i="4"/>
  <c r="H26" i="4"/>
  <c r="H27" i="4"/>
  <c r="H28" i="4"/>
  <c r="H29" i="4"/>
  <c r="H30" i="4"/>
  <c r="H31" i="4"/>
  <c r="H32" i="4"/>
  <c r="H33" i="4"/>
  <c r="H22" i="4"/>
  <c r="I22" i="4" s="1"/>
  <c r="F34" i="4"/>
  <c r="E34" i="4"/>
  <c r="C4" i="4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B4" i="4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I23" i="4" l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D54" i="1" l="1"/>
  <c r="D64" i="1"/>
  <c r="D63" i="1"/>
  <c r="H30" i="1"/>
  <c r="H6" i="1"/>
  <c r="D58" i="1"/>
  <c r="D16" i="1"/>
  <c r="H10" i="1"/>
  <c r="H19" i="1"/>
  <c r="H24" i="1"/>
  <c r="H35" i="1"/>
  <c r="D28" i="1"/>
  <c r="D22" i="1"/>
  <c r="D8" i="1"/>
  <c r="D80" i="1" l="1"/>
  <c r="D78" i="1" s="1"/>
  <c r="D74" i="1"/>
  <c r="D71" i="1" s="1"/>
  <c r="D61" i="1"/>
  <c r="D43" i="1"/>
  <c r="H43" i="1"/>
  <c r="D57" i="1"/>
  <c r="D56" i="1" s="1"/>
  <c r="D53" i="1"/>
  <c r="D50" i="1" l="1"/>
</calcChain>
</file>

<file path=xl/sharedStrings.xml><?xml version="1.0" encoding="utf-8"?>
<sst xmlns="http://schemas.openxmlformats.org/spreadsheetml/2006/main" count="199" uniqueCount="124">
  <si>
    <t>Cash</t>
  </si>
  <si>
    <t>O/N loans to Central bank</t>
  </si>
  <si>
    <t>Sovereign bonds</t>
  </si>
  <si>
    <t>Corporate bonds (not less than BBB-)</t>
  </si>
  <si>
    <t>Funding from central bank &lt;30d</t>
  </si>
  <si>
    <t>All retail deposits and CA</t>
  </si>
  <si>
    <t>Corporate deposits and CA &lt;30d</t>
  </si>
  <si>
    <t>Interbank borrowings &lt;30d</t>
  </si>
  <si>
    <t>Other borrowings &lt; 30d</t>
  </si>
  <si>
    <t>Credit related commitments</t>
  </si>
  <si>
    <t>Share capital</t>
  </si>
  <si>
    <t>Corporate deposits and CA &gt;1year</t>
  </si>
  <si>
    <t>Corporate deposits and CA &lt;1year</t>
  </si>
  <si>
    <t>Interbank lending &lt;6m</t>
  </si>
  <si>
    <t>Other assets</t>
  </si>
  <si>
    <t>LCR</t>
  </si>
  <si>
    <t>5-100%</t>
  </si>
  <si>
    <t>NSFR</t>
  </si>
  <si>
    <t>Assets</t>
  </si>
  <si>
    <t>Liabilities</t>
  </si>
  <si>
    <t>Interbank loans granted</t>
  </si>
  <si>
    <t>Interbank loans granted &lt;30d</t>
  </si>
  <si>
    <t>All other loans granted &lt;30d</t>
  </si>
  <si>
    <t>Corporate loans granted</t>
  </si>
  <si>
    <t>Retail loans granted</t>
  </si>
  <si>
    <t>Repayment &lt;30d</t>
  </si>
  <si>
    <t>Repayment ⩾30d</t>
  </si>
  <si>
    <t>Other loans granted &lt; 1 year</t>
  </si>
  <si>
    <t>Other loans granted&gt; 1 year</t>
  </si>
  <si>
    <t>Corporate bonds (less than BBB-)</t>
  </si>
  <si>
    <t>Repayment ⩾6m</t>
  </si>
  <si>
    <t>Total assets</t>
  </si>
  <si>
    <t>Retained earnings</t>
  </si>
  <si>
    <t>Retail deposits and CA</t>
  </si>
  <si>
    <t>Corporate deposits and CA</t>
  </si>
  <si>
    <t>Interbank borrowings</t>
  </si>
  <si>
    <t>Repayment ⩾30d &lt;6m</t>
  </si>
  <si>
    <t>Repayment ⩾30d &lt;12m</t>
  </si>
  <si>
    <t>Repayment ⩾12m</t>
  </si>
  <si>
    <t>Funding from central bank</t>
  </si>
  <si>
    <t>Other borrowings</t>
  </si>
  <si>
    <t>Total liabilities and capital</t>
  </si>
  <si>
    <t>Debt securities issued</t>
  </si>
  <si>
    <t>All other funding (incl bonds issued)</t>
  </si>
  <si>
    <t>Stock</t>
  </si>
  <si>
    <t>Available liquidity</t>
  </si>
  <si>
    <t>Bank may pledge all sovereign bonds with discount 5% in order to attract funding from central bank</t>
  </si>
  <si>
    <t>O/N</t>
  </si>
  <si>
    <t>Balance sheet</t>
  </si>
  <si>
    <t>Bank may pledge up to 20% of retail and corp loan portfolio with discount 40% in order to attract funding from central bank</t>
  </si>
  <si>
    <t>balance</t>
  </si>
  <si>
    <t>av % rate</t>
  </si>
  <si>
    <t>n/a</t>
  </si>
  <si>
    <t>Reserve</t>
  </si>
  <si>
    <t>Funds with repayment ⩽ 6 month</t>
  </si>
  <si>
    <t>Investments with repayment ⩽ 6 month</t>
  </si>
  <si>
    <t>Repayment ⩾6m &lt;12m</t>
  </si>
  <si>
    <t>Liquidity position</t>
  </si>
  <si>
    <t>Net O/N</t>
  </si>
  <si>
    <t>Liquidity buffer in stress</t>
  </si>
  <si>
    <t>Inflow</t>
  </si>
  <si>
    <t>Outflow</t>
  </si>
  <si>
    <t>1 w</t>
  </si>
  <si>
    <t>2 w</t>
  </si>
  <si>
    <t>3 w</t>
  </si>
  <si>
    <t>1 m</t>
  </si>
  <si>
    <t>2 m</t>
  </si>
  <si>
    <t>3 m</t>
  </si>
  <si>
    <t>6 m</t>
  </si>
  <si>
    <t>1 y</t>
  </si>
  <si>
    <t>2 y</t>
  </si>
  <si>
    <t>3 y</t>
  </si>
  <si>
    <t>5 y</t>
  </si>
  <si>
    <t>Liquidity gap</t>
  </si>
  <si>
    <t>Cumulative gap</t>
  </si>
  <si>
    <t>Physical liquidity metrics</t>
  </si>
  <si>
    <t>что делать если куммулятивный гэп на году отрицательный?</t>
  </si>
  <si>
    <t>Bonds raised after securitization of own portfolio</t>
  </si>
  <si>
    <t>Investments in Bonds (AFS and FVTPL)</t>
  </si>
  <si>
    <t>Investments in Bonds (HTM)</t>
  </si>
  <si>
    <t>If we set this interest rate:</t>
  </si>
  <si>
    <t>We will attract this amount of funding:</t>
  </si>
  <si>
    <t>because we attract whole sum on higher price</t>
  </si>
  <si>
    <t>7.5%*1500=112.5</t>
  </si>
  <si>
    <t>6.5%*1200=78</t>
  </si>
  <si>
    <t>1500-1200=300</t>
  </si>
  <si>
    <t>It will cost us interest expense on 1y horizon:</t>
  </si>
  <si>
    <t>(112.5-78) / 300 = 11.5</t>
  </si>
  <si>
    <t>Additional funds if we raise interest rate on 1p.p.=&gt;</t>
  </si>
  <si>
    <t>Factual cost of this additional funds =&gt;</t>
  </si>
  <si>
    <t>а я же правильно понимаю, что все что говорится в презе это про управление рынком ликвидности только банковоской книги. (наверное единственное за исключением расчета номративов)</t>
  </si>
  <si>
    <t>можно примеры по риску ликвидности, которые у тебя есть в экселях</t>
  </si>
  <si>
    <t>есть ли какие-то базельские ограничения по риску ликвидности кроме lcr и nsfr</t>
  </si>
  <si>
    <t>есть ли какие-то бенчмарки по приемлимым метрикам риска ликвидности в разрезе каждой отдельной метрики? - главный ответ к какому кризису ты хотел бы быть готов (старый, новый, какой-то специфический)</t>
  </si>
  <si>
    <t>LCR, нсфр это тоже гэп ликвидности</t>
  </si>
  <si>
    <t>сейчас основная метрика это остаточный буфер - то есть гэп в стрессе 60 дней</t>
  </si>
  <si>
    <t>есть отдельный лимит на кумулятивный гэп ДГР, казначейство инициирует, риски ставят</t>
  </si>
  <si>
    <t>на еженедельной основе делается прогноз ликвидности, на каком горизонте - в среднем на 6 месяцев</t>
  </si>
  <si>
    <t>Factorial analysis of liquidity changes - какие могут быть факторы? Факторы: клиентские операции (депозиты, кредиты) не клиентские операции (выкуп бондов, погашение МБК)</t>
  </si>
  <si>
    <t>Option 1</t>
  </si>
  <si>
    <t>Option 2</t>
  </si>
  <si>
    <t>New deals</t>
  </si>
  <si>
    <t>Contractual repayment</t>
  </si>
  <si>
    <t>Early repayment of loans</t>
  </si>
  <si>
    <t>T1</t>
  </si>
  <si>
    <t>T2</t>
  </si>
  <si>
    <t>T3</t>
  </si>
  <si>
    <t>Fact</t>
  </si>
  <si>
    <t>Total loan portfolio</t>
  </si>
  <si>
    <t>Direct repo</t>
  </si>
  <si>
    <t>Mandatory coverage ratio</t>
  </si>
  <si>
    <t>The Bank can pledge this security and take a loan=&gt;</t>
  </si>
  <si>
    <t>"Stop loss" when mandatory coverage ratio less than</t>
  </si>
  <si>
    <t>The Bank has 1 Bond with FV</t>
  </si>
  <si>
    <t>4801-У</t>
  </si>
  <si>
    <t>Assumptions</t>
  </si>
  <si>
    <t>High quality liquidity assets</t>
  </si>
  <si>
    <t xml:space="preserve">Cash outflows for 30d </t>
  </si>
  <si>
    <t>CRC for 5%</t>
  </si>
  <si>
    <t>Cash inflows for 30d</t>
  </si>
  <si>
    <t>Available stable funding (ASF)</t>
  </si>
  <si>
    <t>Required stable funding (RSF)</t>
  </si>
  <si>
    <t>"Repayment ⩾6m" consist of: 50% &lt;1 year and 50% ⩾1year</t>
  </si>
  <si>
    <t>Regulatory liquidity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</si>
</sst>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.0_);_(* \(#,##0.0\);_(* &quot;-&quot;??_);_(@_)"/>
    <numFmt numFmtId="166" formatCode="0.0%"/>
    <numFmt numFmtId="168" formatCode="_-* #,##0.0_-;\-* #,##0.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rgb="FF00B05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0" fontId="3" fillId="0" borderId="1" xfId="0" applyFont="1" applyBorder="1" applyAlignment="1">
      <alignment horizontal="left" vertical="center" wrapText="1" readingOrder="1"/>
    </xf>
    <xf numFmtId="9" fontId="3" fillId="0" borderId="4" xfId="0" applyNumberFormat="1" applyFont="1" applyBorder="1" applyAlignment="1">
      <alignment horizontal="left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9" fontId="3" fillId="0" borderId="5" xfId="0" applyNumberFormat="1" applyFont="1" applyBorder="1" applyAlignment="1">
      <alignment horizontal="left" vertical="center" wrapText="1" readingOrder="1"/>
    </xf>
    <xf numFmtId="0" fontId="3" fillId="0" borderId="3" xfId="0" applyFont="1" applyBorder="1" applyAlignment="1">
      <alignment horizontal="left" vertical="center" wrapText="1" readingOrder="1"/>
    </xf>
    <xf numFmtId="9" fontId="3" fillId="0" borderId="6" xfId="0" applyNumberFormat="1" applyFont="1" applyBorder="1" applyAlignment="1">
      <alignment horizontal="left" vertical="center" wrapText="1" readingOrder="1"/>
    </xf>
    <xf numFmtId="0" fontId="3" fillId="0" borderId="6" xfId="0" applyFont="1" applyBorder="1" applyAlignment="1">
      <alignment horizontal="left" vertical="center" wrapText="1" readingOrder="1"/>
    </xf>
    <xf numFmtId="9" fontId="3" fillId="0" borderId="8" xfId="0" applyNumberFormat="1" applyFont="1" applyBorder="1" applyAlignment="1">
      <alignment horizontal="left" vertical="center" wrapText="1" readingOrder="1"/>
    </xf>
    <xf numFmtId="9" fontId="3" fillId="0" borderId="10" xfId="0" applyNumberFormat="1" applyFont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2" xfId="0" applyFont="1" applyFill="1" applyBorder="1" applyAlignment="1">
      <alignment horizontal="left" vertic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indent="1" readingOrder="1"/>
    </xf>
    <xf numFmtId="0" fontId="4" fillId="0" borderId="0" xfId="0" applyFont="1"/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7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wrapText="1"/>
    </xf>
    <xf numFmtId="0" fontId="2" fillId="0" borderId="7" xfId="0" applyFont="1" applyBorder="1"/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9" xfId="0" applyFont="1" applyBorder="1"/>
    <xf numFmtId="0" fontId="2" fillId="0" borderId="14" xfId="0" applyFont="1" applyBorder="1"/>
    <xf numFmtId="0" fontId="2" fillId="0" borderId="10" xfId="0" applyFont="1" applyBorder="1"/>
    <xf numFmtId="165" fontId="2" fillId="0" borderId="0" xfId="1" applyNumberFormat="1" applyFont="1"/>
    <xf numFmtId="166" fontId="2" fillId="0" borderId="0" xfId="2" applyNumberFormat="1" applyFont="1"/>
    <xf numFmtId="166" fontId="2" fillId="0" borderId="11" xfId="2" applyNumberFormat="1" applyFont="1" applyBorder="1"/>
    <xf numFmtId="166" fontId="4" fillId="0" borderId="0" xfId="2" applyNumberFormat="1" applyFont="1" applyBorder="1"/>
    <xf numFmtId="166" fontId="2" fillId="0" borderId="0" xfId="2" applyNumberFormat="1" applyFont="1" applyBorder="1"/>
    <xf numFmtId="166" fontId="6" fillId="0" borderId="0" xfId="2" applyNumberFormat="1" applyFont="1" applyBorder="1"/>
    <xf numFmtId="166" fontId="2" fillId="0" borderId="14" xfId="2" applyNumberFormat="1" applyFont="1" applyBorder="1"/>
    <xf numFmtId="14" fontId="0" fillId="0" borderId="0" xfId="0" applyNumberFormat="1"/>
    <xf numFmtId="0" fontId="2" fillId="3" borderId="0" xfId="0" applyFont="1" applyFill="1"/>
    <xf numFmtId="0" fontId="9" fillId="3" borderId="0" xfId="0" applyFont="1" applyFill="1" applyAlignment="1">
      <alignment horizontal="left" vertical="center" readingOrder="1"/>
    </xf>
    <xf numFmtId="166" fontId="2" fillId="3" borderId="0" xfId="2" applyNumberFormat="1" applyFont="1" applyFill="1"/>
    <xf numFmtId="0" fontId="8" fillId="0" borderId="0" xfId="0" applyFont="1"/>
    <xf numFmtId="0" fontId="9" fillId="0" borderId="0" xfId="0" applyFont="1" applyAlignment="1">
      <alignment horizontal="left" vertical="center" readingOrder="1"/>
    </xf>
    <xf numFmtId="165" fontId="10" fillId="0" borderId="0" xfId="1" applyNumberFormat="1" applyFont="1" applyFill="1"/>
    <xf numFmtId="166" fontId="10" fillId="0" borderId="0" xfId="2" applyNumberFormat="1" applyFont="1" applyFill="1"/>
    <xf numFmtId="166" fontId="8" fillId="0" borderId="0" xfId="2" applyNumberFormat="1" applyFont="1" applyFill="1"/>
    <xf numFmtId="0" fontId="3" fillId="0" borderId="0" xfId="0" applyFont="1" applyAlignment="1">
      <alignment horizontal="left" vertical="center" readingOrder="1"/>
    </xf>
    <xf numFmtId="165" fontId="2" fillId="0" borderId="0" xfId="1" applyNumberFormat="1" applyFont="1" applyFill="1"/>
    <xf numFmtId="166" fontId="2" fillId="0" borderId="0" xfId="2" applyNumberFormat="1" applyFont="1" applyFill="1"/>
    <xf numFmtId="165" fontId="4" fillId="0" borderId="0" xfId="1" applyNumberFormat="1" applyFont="1" applyFill="1"/>
    <xf numFmtId="166" fontId="4" fillId="0" borderId="0" xfId="2" applyNumberFormat="1" applyFont="1" applyFill="1"/>
    <xf numFmtId="0" fontId="2" fillId="0" borderId="0" xfId="0" applyFont="1" applyAlignment="1">
      <alignment horizontal="left" wrapText="1" indent="1"/>
    </xf>
    <xf numFmtId="9" fontId="2" fillId="0" borderId="0" xfId="0" applyNumberFormat="1" applyFont="1"/>
    <xf numFmtId="0" fontId="10" fillId="0" borderId="0" xfId="0" applyFont="1"/>
    <xf numFmtId="0" fontId="2" fillId="0" borderId="0" xfId="0" applyFont="1" applyAlignment="1">
      <alignment horizontal="left" vertical="center" indent="2" readingOrder="1"/>
    </xf>
    <xf numFmtId="0" fontId="4" fillId="0" borderId="0" xfId="0" applyFont="1" applyAlignment="1">
      <alignment wrapText="1"/>
    </xf>
    <xf numFmtId="166" fontId="0" fillId="0" borderId="0" xfId="2" applyNumberFormat="1" applyFont="1"/>
    <xf numFmtId="164" fontId="2" fillId="0" borderId="0" xfId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0" xfId="0" applyAlignment="1">
      <alignment wrapText="1"/>
    </xf>
    <xf numFmtId="9" fontId="0" fillId="0" borderId="0" xfId="0" applyNumberFormat="1"/>
    <xf numFmtId="168" fontId="2" fillId="0" borderId="0" xfId="1" applyNumberFormat="1" applyFont="1"/>
    <xf numFmtId="0" fontId="8" fillId="0" borderId="15" xfId="0" applyFont="1" applyBorder="1"/>
    <xf numFmtId="166" fontId="8" fillId="0" borderId="16" xfId="2" applyNumberFormat="1" applyFont="1" applyBorder="1"/>
    <xf numFmtId="0" fontId="14" fillId="0" borderId="0" xfId="0" applyFont="1"/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8" fontId="2" fillId="0" borderId="0" xfId="1" applyNumberFormat="1" applyFont="1" applyAlignment="1">
      <alignment horizontal="left" indent="1"/>
    </xf>
    <xf numFmtId="0" fontId="16" fillId="0" borderId="0" xfId="0" applyFont="1"/>
    <xf numFmtId="0" fontId="15" fillId="0" borderId="0" xfId="0" applyFont="1"/>
    <xf numFmtId="166" fontId="8" fillId="0" borderId="16" xfId="2" applyNumberFormat="1" applyFont="1" applyBorder="1" applyAlignment="1">
      <alignment horizontal="left" inden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graphs!$C$2</c:f>
              <c:strCache>
                <c:ptCount val="1"/>
                <c:pt idx="0">
                  <c:v>Liquidity buffer in stress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graphs!$B$3:$B$14</c:f>
              <c:numCache>
                <c:formatCode>m/d/yyyy</c:formatCode>
                <c:ptCount val="12"/>
                <c:pt idx="0">
                  <c:v>44585</c:v>
                </c:pt>
                <c:pt idx="1">
                  <c:v>44590</c:v>
                </c:pt>
                <c:pt idx="2">
                  <c:v>44595</c:v>
                </c:pt>
                <c:pt idx="3">
                  <c:v>44600</c:v>
                </c:pt>
                <c:pt idx="4">
                  <c:v>44605</c:v>
                </c:pt>
                <c:pt idx="5">
                  <c:v>44610</c:v>
                </c:pt>
                <c:pt idx="6">
                  <c:v>44615</c:v>
                </c:pt>
                <c:pt idx="7">
                  <c:v>44620</c:v>
                </c:pt>
                <c:pt idx="8">
                  <c:v>44625</c:v>
                </c:pt>
                <c:pt idx="9">
                  <c:v>44630</c:v>
                </c:pt>
                <c:pt idx="10">
                  <c:v>44635</c:v>
                </c:pt>
                <c:pt idx="11">
                  <c:v>44640</c:v>
                </c:pt>
              </c:numCache>
            </c:numRef>
          </c:cat>
          <c:val>
            <c:numRef>
              <c:f>graphs!$C$3:$C$14</c:f>
              <c:numCache>
                <c:formatCode>General</c:formatCode>
                <c:ptCount val="12"/>
                <c:pt idx="0">
                  <c:v>100</c:v>
                </c:pt>
                <c:pt idx="1">
                  <c:v>85</c:v>
                </c:pt>
                <c:pt idx="2">
                  <c:v>84</c:v>
                </c:pt>
                <c:pt idx="3">
                  <c:v>80</c:v>
                </c:pt>
                <c:pt idx="4">
                  <c:v>79</c:v>
                </c:pt>
                <c:pt idx="5">
                  <c:v>81</c:v>
                </c:pt>
                <c:pt idx="6">
                  <c:v>80</c:v>
                </c:pt>
                <c:pt idx="7">
                  <c:v>82</c:v>
                </c:pt>
                <c:pt idx="8">
                  <c:v>77</c:v>
                </c:pt>
                <c:pt idx="9">
                  <c:v>58</c:v>
                </c:pt>
                <c:pt idx="10">
                  <c:v>43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B8-4A7E-B00A-F80658A56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056568"/>
        <c:axId val="836062144"/>
      </c:lineChart>
      <c:dateAx>
        <c:axId val="8360565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836062144"/>
        <c:crosses val="autoZero"/>
        <c:auto val="1"/>
        <c:lblOffset val="100"/>
        <c:baseTimeUnit val="days"/>
        <c:majorUnit val="5"/>
        <c:majorTimeUnit val="days"/>
      </c:dateAx>
      <c:valAx>
        <c:axId val="8360621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3605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graphs!$E$21</c:f>
              <c:strCache>
                <c:ptCount val="1"/>
                <c:pt idx="0">
                  <c:v>Inflow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graphs!$D$22:$D$33</c:f>
              <c:strCache>
                <c:ptCount val="12"/>
                <c:pt idx="0">
                  <c:v>O/N</c:v>
                </c:pt>
                <c:pt idx="1">
                  <c:v>1 w</c:v>
                </c:pt>
                <c:pt idx="2">
                  <c:v>2 w</c:v>
                </c:pt>
                <c:pt idx="3">
                  <c:v>3 w</c:v>
                </c:pt>
                <c:pt idx="4">
                  <c:v>1 m</c:v>
                </c:pt>
                <c:pt idx="5">
                  <c:v>2 m</c:v>
                </c:pt>
                <c:pt idx="6">
                  <c:v>3 m</c:v>
                </c:pt>
                <c:pt idx="7">
                  <c:v>6 m</c:v>
                </c:pt>
                <c:pt idx="8">
                  <c:v>1 y</c:v>
                </c:pt>
                <c:pt idx="9">
                  <c:v>2 y</c:v>
                </c:pt>
                <c:pt idx="10">
                  <c:v>3 y</c:v>
                </c:pt>
                <c:pt idx="11">
                  <c:v>5 y</c:v>
                </c:pt>
              </c:strCache>
            </c:strRef>
          </c:cat>
          <c:val>
            <c:numRef>
              <c:f>graphs!$E$22:$E$33</c:f>
              <c:numCache>
                <c:formatCode>General</c:formatCode>
                <c:ptCount val="12"/>
                <c:pt idx="0">
                  <c:v>5</c:v>
                </c:pt>
                <c:pt idx="1">
                  <c:v>7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29</c:v>
                </c:pt>
                <c:pt idx="6">
                  <c:v>53</c:v>
                </c:pt>
                <c:pt idx="7">
                  <c:v>44</c:v>
                </c:pt>
                <c:pt idx="8">
                  <c:v>94</c:v>
                </c:pt>
                <c:pt idx="9">
                  <c:v>116</c:v>
                </c:pt>
                <c:pt idx="10">
                  <c:v>120</c:v>
                </c:pt>
                <c:pt idx="1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D-4DAA-8780-587F0884ECD2}"/>
            </c:ext>
          </c:extLst>
        </c:ser>
        <c:ser>
          <c:idx val="1"/>
          <c:order val="1"/>
          <c:tx>
            <c:strRef>
              <c:f>graphs!$F$21</c:f>
              <c:strCache>
                <c:ptCount val="1"/>
                <c:pt idx="0">
                  <c:v>Outflow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graphs!$D$22:$D$33</c:f>
              <c:strCache>
                <c:ptCount val="12"/>
                <c:pt idx="0">
                  <c:v>O/N</c:v>
                </c:pt>
                <c:pt idx="1">
                  <c:v>1 w</c:v>
                </c:pt>
                <c:pt idx="2">
                  <c:v>2 w</c:v>
                </c:pt>
                <c:pt idx="3">
                  <c:v>3 w</c:v>
                </c:pt>
                <c:pt idx="4">
                  <c:v>1 m</c:v>
                </c:pt>
                <c:pt idx="5">
                  <c:v>2 m</c:v>
                </c:pt>
                <c:pt idx="6">
                  <c:v>3 m</c:v>
                </c:pt>
                <c:pt idx="7">
                  <c:v>6 m</c:v>
                </c:pt>
                <c:pt idx="8">
                  <c:v>1 y</c:v>
                </c:pt>
                <c:pt idx="9">
                  <c:v>2 y</c:v>
                </c:pt>
                <c:pt idx="10">
                  <c:v>3 y</c:v>
                </c:pt>
                <c:pt idx="11">
                  <c:v>5 y</c:v>
                </c:pt>
              </c:strCache>
            </c:strRef>
          </c:cat>
          <c:val>
            <c:numRef>
              <c:f>graphs!$F$22:$F$33</c:f>
              <c:numCache>
                <c:formatCode>General</c:formatCode>
                <c:ptCount val="12"/>
                <c:pt idx="0">
                  <c:v>-9</c:v>
                </c:pt>
                <c:pt idx="1">
                  <c:v>-12</c:v>
                </c:pt>
                <c:pt idx="2">
                  <c:v>-9</c:v>
                </c:pt>
                <c:pt idx="3">
                  <c:v>-16</c:v>
                </c:pt>
                <c:pt idx="4">
                  <c:v>-29</c:v>
                </c:pt>
                <c:pt idx="5">
                  <c:v>-31</c:v>
                </c:pt>
                <c:pt idx="6">
                  <c:v>-48</c:v>
                </c:pt>
                <c:pt idx="7">
                  <c:v>-76</c:v>
                </c:pt>
                <c:pt idx="8">
                  <c:v>-88</c:v>
                </c:pt>
                <c:pt idx="9">
                  <c:v>-92</c:v>
                </c:pt>
                <c:pt idx="10">
                  <c:v>-98</c:v>
                </c:pt>
                <c:pt idx="11">
                  <c:v>-108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D-4DAA-8780-587F0884E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4925704"/>
        <c:axId val="824929312"/>
      </c:barChart>
      <c:catAx>
        <c:axId val="824925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824929312"/>
        <c:crosses val="autoZero"/>
        <c:auto val="1"/>
        <c:lblAlgn val="ctr"/>
        <c:lblOffset val="100"/>
        <c:noMultiLvlLbl val="0"/>
      </c:catAx>
      <c:valAx>
        <c:axId val="82492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824925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graphs!$H$21</c:f>
              <c:strCache>
                <c:ptCount val="1"/>
                <c:pt idx="0">
                  <c:v>Liquidity gap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graphs!$G$22:$G$33</c:f>
              <c:strCache>
                <c:ptCount val="12"/>
                <c:pt idx="0">
                  <c:v>O/N</c:v>
                </c:pt>
                <c:pt idx="1">
                  <c:v>1 w</c:v>
                </c:pt>
                <c:pt idx="2">
                  <c:v>2 w</c:v>
                </c:pt>
                <c:pt idx="3">
                  <c:v>3 w</c:v>
                </c:pt>
                <c:pt idx="4">
                  <c:v>1 m</c:v>
                </c:pt>
                <c:pt idx="5">
                  <c:v>2 m</c:v>
                </c:pt>
                <c:pt idx="6">
                  <c:v>3 m</c:v>
                </c:pt>
                <c:pt idx="7">
                  <c:v>6 m</c:v>
                </c:pt>
                <c:pt idx="8">
                  <c:v>1 y</c:v>
                </c:pt>
                <c:pt idx="9">
                  <c:v>2 y</c:v>
                </c:pt>
                <c:pt idx="10">
                  <c:v>3 y</c:v>
                </c:pt>
                <c:pt idx="11">
                  <c:v>5 y</c:v>
                </c:pt>
              </c:strCache>
            </c:strRef>
          </c:cat>
          <c:val>
            <c:numRef>
              <c:f>graphs!$H$22:$H$33</c:f>
              <c:numCache>
                <c:formatCode>General</c:formatCode>
                <c:ptCount val="12"/>
                <c:pt idx="0">
                  <c:v>-4</c:v>
                </c:pt>
                <c:pt idx="1">
                  <c:v>-5</c:v>
                </c:pt>
                <c:pt idx="2">
                  <c:v>3</c:v>
                </c:pt>
                <c:pt idx="3">
                  <c:v>2</c:v>
                </c:pt>
                <c:pt idx="4">
                  <c:v>-5</c:v>
                </c:pt>
                <c:pt idx="5">
                  <c:v>-2</c:v>
                </c:pt>
                <c:pt idx="6">
                  <c:v>5</c:v>
                </c:pt>
                <c:pt idx="7">
                  <c:v>-32</c:v>
                </c:pt>
                <c:pt idx="8">
                  <c:v>6</c:v>
                </c:pt>
                <c:pt idx="9">
                  <c:v>24</c:v>
                </c:pt>
                <c:pt idx="10">
                  <c:v>22</c:v>
                </c:pt>
                <c:pt idx="11">
                  <c:v>-14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4-4FC0-8627-AAF330953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048040"/>
        <c:axId val="836053944"/>
      </c:barChart>
      <c:lineChart>
        <c:grouping val="standard"/>
        <c:varyColors val="0"/>
        <c:ser>
          <c:idx val="1"/>
          <c:order val="1"/>
          <c:tx>
            <c:strRef>
              <c:f>graphs!$I$21</c:f>
              <c:strCache>
                <c:ptCount val="1"/>
                <c:pt idx="0">
                  <c:v>Cumulative gap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graphs!$G$22:$G$33</c:f>
              <c:strCache>
                <c:ptCount val="12"/>
                <c:pt idx="0">
                  <c:v>O/N</c:v>
                </c:pt>
                <c:pt idx="1">
                  <c:v>1 w</c:v>
                </c:pt>
                <c:pt idx="2">
                  <c:v>2 w</c:v>
                </c:pt>
                <c:pt idx="3">
                  <c:v>3 w</c:v>
                </c:pt>
                <c:pt idx="4">
                  <c:v>1 m</c:v>
                </c:pt>
                <c:pt idx="5">
                  <c:v>2 m</c:v>
                </c:pt>
                <c:pt idx="6">
                  <c:v>3 m</c:v>
                </c:pt>
                <c:pt idx="7">
                  <c:v>6 m</c:v>
                </c:pt>
                <c:pt idx="8">
                  <c:v>1 y</c:v>
                </c:pt>
                <c:pt idx="9">
                  <c:v>2 y</c:v>
                </c:pt>
                <c:pt idx="10">
                  <c:v>3 y</c:v>
                </c:pt>
                <c:pt idx="11">
                  <c:v>5 y</c:v>
                </c:pt>
              </c:strCache>
            </c:strRef>
          </c:cat>
          <c:val>
            <c:numRef>
              <c:f>graphs!$I$22:$I$33</c:f>
              <c:numCache>
                <c:formatCode>General</c:formatCode>
                <c:ptCount val="12"/>
                <c:pt idx="0">
                  <c:v>-4</c:v>
                </c:pt>
                <c:pt idx="1">
                  <c:v>-9</c:v>
                </c:pt>
                <c:pt idx="2">
                  <c:v>-6</c:v>
                </c:pt>
                <c:pt idx="3">
                  <c:v>-4</c:v>
                </c:pt>
                <c:pt idx="4">
                  <c:v>-9</c:v>
                </c:pt>
                <c:pt idx="5">
                  <c:v>-11</c:v>
                </c:pt>
                <c:pt idx="6">
                  <c:v>-6</c:v>
                </c:pt>
                <c:pt idx="7">
                  <c:v>-38</c:v>
                </c:pt>
                <c:pt idx="8">
                  <c:v>-32</c:v>
                </c:pt>
                <c:pt idx="9">
                  <c:v>-8</c:v>
                </c:pt>
                <c:pt idx="10">
                  <c:v>14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E4-4FC0-8627-AAF330953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048040"/>
        <c:axId val="836053944"/>
      </c:lineChart>
      <c:catAx>
        <c:axId val="83604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836053944"/>
        <c:crosses val="autoZero"/>
        <c:auto val="1"/>
        <c:lblAlgn val="ctr"/>
        <c:lblOffset val="100"/>
        <c:noMultiLvlLbl val="0"/>
      </c:catAx>
      <c:valAx>
        <c:axId val="836053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83604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84235860409144E-2"/>
          <c:y val="5.0925925925925923E-2"/>
          <c:w val="0.93381468110709986"/>
          <c:h val="0.721063721201516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graphs!$B$47</c:f>
              <c:strCache>
                <c:ptCount val="1"/>
                <c:pt idx="0">
                  <c:v>New deals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graphs!$C$46:$F$46</c:f>
              <c:strCache>
                <c:ptCount val="4"/>
                <c:pt idx="0">
                  <c:v>Fact</c:v>
                </c:pt>
                <c:pt idx="1">
                  <c:v>T1</c:v>
                </c:pt>
                <c:pt idx="2">
                  <c:v>T2</c:v>
                </c:pt>
                <c:pt idx="3">
                  <c:v>T3</c:v>
                </c:pt>
              </c:strCache>
            </c:strRef>
          </c:cat>
          <c:val>
            <c:numRef>
              <c:f>graphs!$C$47:$F$47</c:f>
              <c:numCache>
                <c:formatCode>General</c:formatCode>
                <c:ptCount val="4"/>
                <c:pt idx="1">
                  <c:v>10</c:v>
                </c:pt>
                <c:pt idx="2">
                  <c:v>4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3-4D75-B759-4A7FD77A4BBE}"/>
            </c:ext>
          </c:extLst>
        </c:ser>
        <c:ser>
          <c:idx val="1"/>
          <c:order val="1"/>
          <c:tx>
            <c:strRef>
              <c:f>graphs!$B$48</c:f>
              <c:strCache>
                <c:ptCount val="1"/>
                <c:pt idx="0">
                  <c:v>Early repayment of loans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graphs!$C$46:$F$46</c:f>
              <c:strCache>
                <c:ptCount val="4"/>
                <c:pt idx="0">
                  <c:v>Fact</c:v>
                </c:pt>
                <c:pt idx="1">
                  <c:v>T1</c:v>
                </c:pt>
                <c:pt idx="2">
                  <c:v>T2</c:v>
                </c:pt>
                <c:pt idx="3">
                  <c:v>T3</c:v>
                </c:pt>
              </c:strCache>
            </c:strRef>
          </c:cat>
          <c:val>
            <c:numRef>
              <c:f>graphs!$C$48:$F$48</c:f>
              <c:numCache>
                <c:formatCode>General</c:formatCode>
                <c:ptCount val="4"/>
                <c:pt idx="1">
                  <c:v>-3</c:v>
                </c:pt>
                <c:pt idx="2">
                  <c:v>-2</c:v>
                </c:pt>
                <c:pt idx="3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43-4D75-B759-4A7FD77A4BBE}"/>
            </c:ext>
          </c:extLst>
        </c:ser>
        <c:ser>
          <c:idx val="2"/>
          <c:order val="2"/>
          <c:tx>
            <c:strRef>
              <c:f>graphs!$B$49</c:f>
              <c:strCache>
                <c:ptCount val="1"/>
                <c:pt idx="0">
                  <c:v>Contractual repayment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8.4235860409145547E-2"/>
                  <c:y val="4.62962962962962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43-4D75-B759-4A7FD77A4BBE}"/>
                </c:ext>
              </c:extLst>
            </c:dLbl>
            <c:dLbl>
              <c:idx val="2"/>
              <c:layout>
                <c:manualLayout>
                  <c:x val="8.7244283995186522E-2"/>
                  <c:y val="3.645377661974448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43-4D75-B759-4A7FD77A4BBE}"/>
                </c:ext>
              </c:extLst>
            </c:dLbl>
            <c:dLbl>
              <c:idx val="3"/>
              <c:layout>
                <c:manualLayout>
                  <c:x val="9.3261131167268349E-2"/>
                  <c:y val="-4.629265091863517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43-4D75-B759-4A7FD77A4B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graphs!$C$46:$F$46</c:f>
              <c:strCache>
                <c:ptCount val="4"/>
                <c:pt idx="0">
                  <c:v>Fact</c:v>
                </c:pt>
                <c:pt idx="1">
                  <c:v>T1</c:v>
                </c:pt>
                <c:pt idx="2">
                  <c:v>T2</c:v>
                </c:pt>
                <c:pt idx="3">
                  <c:v>T3</c:v>
                </c:pt>
              </c:strCache>
            </c:strRef>
          </c:cat>
          <c:val>
            <c:numRef>
              <c:f>graphs!$C$49:$F$49</c:f>
              <c:numCache>
                <c:formatCode>General</c:formatCode>
                <c:ptCount val="4"/>
                <c:pt idx="1">
                  <c:v>-5</c:v>
                </c:pt>
                <c:pt idx="2">
                  <c:v>-4</c:v>
                </c:pt>
                <c:pt idx="3">
                  <c:v>-12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43-4D75-B759-4A7FD77A4BBE}"/>
            </c:ext>
          </c:extLst>
        </c:ser>
        <c:ser>
          <c:idx val="3"/>
          <c:order val="3"/>
          <c:tx>
            <c:strRef>
              <c:f>graphs!$B$50</c:f>
              <c:strCache>
                <c:ptCount val="1"/>
                <c:pt idx="0">
                  <c:v>Total loan portfolio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graphs!$C$46:$F$46</c:f>
              <c:strCache>
                <c:ptCount val="4"/>
                <c:pt idx="0">
                  <c:v>Fact</c:v>
                </c:pt>
                <c:pt idx="1">
                  <c:v>T1</c:v>
                </c:pt>
                <c:pt idx="2">
                  <c:v>T2</c:v>
                </c:pt>
                <c:pt idx="3">
                  <c:v>T3</c:v>
                </c:pt>
              </c:strCache>
            </c:strRef>
          </c:cat>
          <c:val>
            <c:numRef>
              <c:f>graphs!$C$50:$F$50</c:f>
              <c:numCache>
                <c:formatCode>General</c:formatCode>
                <c:ptCount val="4"/>
                <c:pt idx="0">
                  <c:v>30</c:v>
                </c:pt>
                <c:pt idx="1">
                  <c:v>32</c:v>
                </c:pt>
                <c:pt idx="2">
                  <c:v>30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43-4D75-B759-4A7FD77A4B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6973567"/>
        <c:axId val="2056973983"/>
      </c:barChart>
      <c:catAx>
        <c:axId val="2056973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056973983"/>
        <c:crosses val="autoZero"/>
        <c:auto val="1"/>
        <c:lblAlgn val="ctr"/>
        <c:lblOffset val="100"/>
        <c:noMultiLvlLbl val="0"/>
      </c:catAx>
      <c:valAx>
        <c:axId val="205697398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6973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http://AE2DF85E54B930E79289AE571C1D2A9D.dms.sberbank.ru/AE2DF85E54B930E79289AE571C1D2A9D-A3706015402A346BAE2C7E4161CEDD42-BCBA765F09F0A4E23AAE9069DF1575FC/1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AE2DF85E54B930E79289AE571C1D2A9D.dms.sberbank.ru/AE2DF85E54B930E79289AE571C1D2A9D-A3706015402A346BAE2C7E4161CEDD42-BCBA765F09F0A4E23AAE9069DF1575FC/1.png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http://AE2DF85E54B930E79289AE571C1D2A9D.dms.sberbank.ru/AE2DF85E54B930E79289AE571C1D2A9D-A3706015402A346BAE2C7E4161CEDD42-BCBA765F09F0A4E23AAE9069DF1575FC/1.pn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http://AE2DF85E54B930E79289AE571C1D2A9D.dms.sberbank.ru/AE2DF85E54B930E79289AE571C1D2A9D-A3706015402A346BAE2C7E4161CEDD42-BCBA765F09F0A4E23AAE9069DF1575FC/1.pn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http://AE2DF85E54B930E79289AE571C1D2A9D.dms.sberbank.ru/AE2DF85E54B930E79289AE571C1D2A9D-A3706015402A346BAE2C7E4161CEDD42-BCBA765F09F0A4E23AAE9069DF1575FC/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75406</xdr:colOff>
      <xdr:row>1</xdr:row>
      <xdr:rowOff>39686</xdr:rowOff>
    </xdr:from>
    <xdr:to>
      <xdr:col>13</xdr:col>
      <xdr:colOff>246063</xdr:colOff>
      <xdr:row>12</xdr:row>
      <xdr:rowOff>125412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138907</xdr:colOff>
      <xdr:row>13</xdr:row>
      <xdr:rowOff>150812</xdr:rowOff>
    </xdr:from>
    <xdr:to>
      <xdr:col>17</xdr:col>
      <xdr:colOff>95251</xdr:colOff>
      <xdr:row>24</xdr:row>
      <xdr:rowOff>166688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137773</xdr:colOff>
      <xdr:row>24</xdr:row>
      <xdr:rowOff>156936</xdr:rowOff>
    </xdr:from>
    <xdr:to>
      <xdr:col>17</xdr:col>
      <xdr:colOff>108857</xdr:colOff>
      <xdr:row>39</xdr:row>
      <xdr:rowOff>161698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3" name="Рисунок 12" descr="http://AE2DF85E54B930E79289AE571C1D2A9D.dms.sberbank.ru/AE2DF85E54B930E79289AE571C1D2A9D-A3706015402A346BAE2C7E4161CEDD42-BCBA765F09F0A4E23AAE9069DF1575FC/1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</xdr:row>
      <xdr:rowOff>76200</xdr:rowOff>
    </xdr:from>
    <xdr:to>
      <xdr:col>12</xdr:col>
      <xdr:colOff>563880</xdr:colOff>
      <xdr:row>74</xdr:row>
      <xdr:rowOff>99060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C4C35C-65A6-4B9F-BDC7-A2697615B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0" name="Рисунок 9" descr="http://AE2DF85E54B930E79289AE571C1D2A9D.dms.sberbank.ru/AE2DF85E54B930E79289AE571C1D2A9D-A3706015402A346BAE2C7E4161CEDD42-BCBA765F09F0A4E23AAE9069DF1575FC/1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0" name="Рисунок 9" descr="http://AE2DF85E54B930E79289AE571C1D2A9D.dms.sberbank.ru/AE2DF85E54B930E79289AE571C1D2A9D-A3706015402A346BAE2C7E4161CEDD42-BCBA765F09F0A4E23AAE9069DF1575FC/1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7</xdr:col>
      <xdr:colOff>342900</xdr:colOff>
      <xdr:row>68</xdr:row>
      <xdr:rowOff>114300</xdr:rowOff>
    </xdr:from>
    <xdr:to>
      <xdr:col>20</xdr:col>
      <xdr:colOff>74626</xdr:colOff>
      <xdr:row>98</xdr:row>
      <xdr:rowOff>83719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106D9C-7256-4534-A25C-226E3869A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58050" y="10125075"/>
          <a:ext cx="7380301" cy="41032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0" name="Рисунок 9" descr="http://AE2DF85E54B930E79289AE571C1D2A9D.dms.sberbank.ru/AE2DF85E54B930E79289AE571C1D2A9D-A3706015402A346BAE2C7E4161CEDD42-BCBA765F09F0A4E23AAE9069DF1575FC/1.png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0" name="Рисунок 9" descr="http://AE2DF85E54B930E79289AE571C1D2A9D.dms.sberbank.ru/AE2DF85E54B930E79289AE571C1D2A9D-A3706015402A346BAE2C7E4161CEDD42-BCBA765F09F0A4E23AAE9069DF1575FC/1.pn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78"/>
  <sheetViews>
    <sheetView zoomScale="70" zoomScaleNormal="70" workbookViewId="0">
      <selection activeCell="N1" sqref="N1"/>
    </sheetView>
  </sheetViews>
  <sheetFormatPr defaultRowHeight="14.4" x14ac:dyDescent="0.3"/>
  <cols>
    <col min="2" max="2" width="11.5546875" bestFit="1" customWidth="1"/>
    <col min="3" max="3" width="13.6640625" bestFit="1" customWidth="1"/>
  </cols>
  <sheetData>
    <row r="2" spans="2:3" x14ac:dyDescent="0.3">
      <c r="C2" t="s">
        <v>59</v>
      </c>
    </row>
    <row r="3" spans="2:3" x14ac:dyDescent="0.3">
      <c r="B3" s="37">
        <v>44585</v>
      </c>
      <c r="C3">
        <v>100</v>
      </c>
    </row>
    <row r="4" spans="2:3" x14ac:dyDescent="0.3">
      <c r="B4" s="37">
        <f>B3+5</f>
        <v>44590</v>
      </c>
      <c r="C4">
        <f ca="1">C3-RANDBETWEEN(-2,20)</f>
        <v>85</v>
      </c>
    </row>
    <row r="5" spans="2:3" x14ac:dyDescent="0.3">
      <c r="B5" s="37">
        <f t="shared" ref="B5:B18" si="0">B4+5</f>
        <v>44595</v>
      </c>
      <c r="C5">
        <f t="shared" ref="C5:C18" ca="1" si="1">C4-RANDBETWEEN(-2,20)</f>
        <v>84</v>
      </c>
    </row>
    <row r="6" spans="2:3" x14ac:dyDescent="0.3">
      <c r="B6" s="37">
        <f t="shared" si="0"/>
        <v>44600</v>
      </c>
      <c r="C6">
        <f t="shared" ca="1" si="1"/>
        <v>80</v>
      </c>
    </row>
    <row r="7" spans="2:3" x14ac:dyDescent="0.3">
      <c r="B7" s="37">
        <f t="shared" si="0"/>
        <v>44605</v>
      </c>
      <c r="C7">
        <f t="shared" ca="1" si="1"/>
        <v>79</v>
      </c>
    </row>
    <row r="8" spans="2:3" x14ac:dyDescent="0.3">
      <c r="B8" s="37">
        <f t="shared" si="0"/>
        <v>44610</v>
      </c>
      <c r="C8">
        <f t="shared" ca="1" si="1"/>
        <v>81</v>
      </c>
    </row>
    <row r="9" spans="2:3" x14ac:dyDescent="0.3">
      <c r="B9" s="37">
        <f t="shared" si="0"/>
        <v>44615</v>
      </c>
      <c r="C9">
        <f t="shared" ca="1" si="1"/>
        <v>80</v>
      </c>
    </row>
    <row r="10" spans="2:3" x14ac:dyDescent="0.3">
      <c r="B10" s="37">
        <f t="shared" si="0"/>
        <v>44620</v>
      </c>
      <c r="C10">
        <f t="shared" ca="1" si="1"/>
        <v>82</v>
      </c>
    </row>
    <row r="11" spans="2:3" x14ac:dyDescent="0.3">
      <c r="B11" s="37">
        <f t="shared" si="0"/>
        <v>44625</v>
      </c>
      <c r="C11">
        <f t="shared" ca="1" si="1"/>
        <v>77</v>
      </c>
    </row>
    <row r="12" spans="2:3" x14ac:dyDescent="0.3">
      <c r="B12" s="37">
        <f t="shared" si="0"/>
        <v>44630</v>
      </c>
      <c r="C12">
        <f t="shared" ca="1" si="1"/>
        <v>58</v>
      </c>
    </row>
    <row r="13" spans="2:3" x14ac:dyDescent="0.3">
      <c r="B13" s="37">
        <f t="shared" si="0"/>
        <v>44635</v>
      </c>
      <c r="C13">
        <f t="shared" ca="1" si="1"/>
        <v>43</v>
      </c>
    </row>
    <row r="14" spans="2:3" x14ac:dyDescent="0.3">
      <c r="B14" s="37">
        <f t="shared" si="0"/>
        <v>44640</v>
      </c>
      <c r="C14">
        <f t="shared" ca="1" si="1"/>
        <v>24</v>
      </c>
    </row>
    <row r="15" spans="2:3" x14ac:dyDescent="0.3">
      <c r="B15" s="37">
        <f t="shared" si="0"/>
        <v>44645</v>
      </c>
      <c r="C15">
        <f t="shared" ca="1" si="1"/>
        <v>16</v>
      </c>
    </row>
    <row r="16" spans="2:3" x14ac:dyDescent="0.3">
      <c r="B16" s="37">
        <f t="shared" si="0"/>
        <v>44650</v>
      </c>
      <c r="C16">
        <f t="shared" ca="1" si="1"/>
        <v>6</v>
      </c>
    </row>
    <row r="17" spans="2:9" x14ac:dyDescent="0.3">
      <c r="B17" s="37">
        <f t="shared" si="0"/>
        <v>44655</v>
      </c>
      <c r="C17">
        <f t="shared" ca="1" si="1"/>
        <v>3</v>
      </c>
    </row>
    <row r="18" spans="2:9" x14ac:dyDescent="0.3">
      <c r="B18" s="37">
        <f t="shared" si="0"/>
        <v>44660</v>
      </c>
      <c r="C18">
        <f t="shared" ca="1" si="1"/>
        <v>-11</v>
      </c>
    </row>
    <row r="21" spans="2:9" x14ac:dyDescent="0.3">
      <c r="E21" t="s">
        <v>60</v>
      </c>
      <c r="F21" t="s">
        <v>61</v>
      </c>
      <c r="H21" t="s">
        <v>73</v>
      </c>
      <c r="I21" t="s">
        <v>74</v>
      </c>
    </row>
    <row r="22" spans="2:9" x14ac:dyDescent="0.3">
      <c r="D22" t="s">
        <v>47</v>
      </c>
      <c r="E22">
        <v>5</v>
      </c>
      <c r="F22">
        <v>-9</v>
      </c>
      <c r="G22" t="s">
        <v>47</v>
      </c>
      <c r="H22">
        <f>E22+F22</f>
        <v>-4</v>
      </c>
      <c r="I22">
        <f>H22</f>
        <v>-4</v>
      </c>
    </row>
    <row r="23" spans="2:9" x14ac:dyDescent="0.3">
      <c r="D23" t="s">
        <v>62</v>
      </c>
      <c r="E23">
        <v>7</v>
      </c>
      <c r="F23">
        <v>-12</v>
      </c>
      <c r="G23" t="s">
        <v>62</v>
      </c>
      <c r="H23">
        <f t="shared" ref="H23:H33" si="2">E23+F23</f>
        <v>-5</v>
      </c>
      <c r="I23">
        <f>H23+I22</f>
        <v>-9</v>
      </c>
    </row>
    <row r="24" spans="2:9" x14ac:dyDescent="0.3">
      <c r="D24" t="s">
        <v>63</v>
      </c>
      <c r="E24">
        <v>12</v>
      </c>
      <c r="F24">
        <v>-9</v>
      </c>
      <c r="G24" t="s">
        <v>63</v>
      </c>
      <c r="H24">
        <f t="shared" si="2"/>
        <v>3</v>
      </c>
      <c r="I24">
        <f t="shared" ref="I24:I33" si="3">H24+I23</f>
        <v>-6</v>
      </c>
    </row>
    <row r="25" spans="2:9" x14ac:dyDescent="0.3">
      <c r="D25" t="s">
        <v>64</v>
      </c>
      <c r="E25">
        <v>18</v>
      </c>
      <c r="F25">
        <v>-16</v>
      </c>
      <c r="G25" t="s">
        <v>64</v>
      </c>
      <c r="H25">
        <f t="shared" si="2"/>
        <v>2</v>
      </c>
      <c r="I25">
        <f t="shared" si="3"/>
        <v>-4</v>
      </c>
    </row>
    <row r="26" spans="2:9" x14ac:dyDescent="0.3">
      <c r="D26" t="s">
        <v>65</v>
      </c>
      <c r="E26">
        <v>24</v>
      </c>
      <c r="F26">
        <v>-29</v>
      </c>
      <c r="G26" t="s">
        <v>65</v>
      </c>
      <c r="H26">
        <f t="shared" si="2"/>
        <v>-5</v>
      </c>
      <c r="I26">
        <f t="shared" si="3"/>
        <v>-9</v>
      </c>
    </row>
    <row r="27" spans="2:9" x14ac:dyDescent="0.3">
      <c r="D27" t="s">
        <v>66</v>
      </c>
      <c r="E27">
        <v>29</v>
      </c>
      <c r="F27">
        <v>-31</v>
      </c>
      <c r="G27" t="s">
        <v>66</v>
      </c>
      <c r="H27">
        <f t="shared" si="2"/>
        <v>-2</v>
      </c>
      <c r="I27">
        <f t="shared" si="3"/>
        <v>-11</v>
      </c>
    </row>
    <row r="28" spans="2:9" x14ac:dyDescent="0.3">
      <c r="D28" t="s">
        <v>67</v>
      </c>
      <c r="E28">
        <v>53</v>
      </c>
      <c r="F28">
        <v>-48</v>
      </c>
      <c r="G28" t="s">
        <v>67</v>
      </c>
      <c r="H28">
        <f t="shared" si="2"/>
        <v>5</v>
      </c>
      <c r="I28">
        <f t="shared" si="3"/>
        <v>-6</v>
      </c>
    </row>
    <row r="29" spans="2:9" x14ac:dyDescent="0.3">
      <c r="D29" t="s">
        <v>68</v>
      </c>
      <c r="E29">
        <v>44</v>
      </c>
      <c r="F29">
        <v>-76</v>
      </c>
      <c r="G29" t="s">
        <v>68</v>
      </c>
      <c r="H29">
        <f t="shared" si="2"/>
        <v>-32</v>
      </c>
      <c r="I29">
        <f t="shared" si="3"/>
        <v>-38</v>
      </c>
    </row>
    <row r="30" spans="2:9" x14ac:dyDescent="0.3">
      <c r="D30" t="s">
        <v>69</v>
      </c>
      <c r="E30">
        <v>94</v>
      </c>
      <c r="F30">
        <v>-88</v>
      </c>
      <c r="G30" t="s">
        <v>69</v>
      </c>
      <c r="H30">
        <f t="shared" si="2"/>
        <v>6</v>
      </c>
      <c r="I30">
        <f t="shared" si="3"/>
        <v>-32</v>
      </c>
    </row>
    <row r="31" spans="2:9" x14ac:dyDescent="0.3">
      <c r="D31" t="s">
        <v>70</v>
      </c>
      <c r="E31">
        <v>116</v>
      </c>
      <c r="F31">
        <v>-92</v>
      </c>
      <c r="G31" t="s">
        <v>70</v>
      </c>
      <c r="H31">
        <f t="shared" si="2"/>
        <v>24</v>
      </c>
      <c r="I31">
        <f t="shared" si="3"/>
        <v>-8</v>
      </c>
    </row>
    <row r="32" spans="2:9" x14ac:dyDescent="0.3">
      <c r="D32" t="s">
        <v>71</v>
      </c>
      <c r="E32">
        <v>120</v>
      </c>
      <c r="F32">
        <v>-98</v>
      </c>
      <c r="G32" t="s">
        <v>71</v>
      </c>
      <c r="H32">
        <f t="shared" si="2"/>
        <v>22</v>
      </c>
      <c r="I32">
        <f t="shared" si="3"/>
        <v>14</v>
      </c>
    </row>
    <row r="33" spans="2:15" x14ac:dyDescent="0.3">
      <c r="D33" t="s">
        <v>72</v>
      </c>
      <c r="E33">
        <v>94</v>
      </c>
      <c r="F33">
        <v>-108</v>
      </c>
      <c r="G33" t="s">
        <v>72</v>
      </c>
      <c r="H33">
        <f t="shared" si="2"/>
        <v>-14</v>
      </c>
      <c r="I33">
        <f t="shared" si="3"/>
        <v>0</v>
      </c>
    </row>
    <row r="34" spans="2:15" x14ac:dyDescent="0.3">
      <c r="E34">
        <f>SUM(E22:E33)</f>
        <v>616</v>
      </c>
      <c r="F34">
        <f>SUM(F22:F33)</f>
        <v>-616</v>
      </c>
    </row>
    <row r="46" spans="2:15" x14ac:dyDescent="0.3">
      <c r="B46" s="60"/>
      <c r="C46" s="60" t="s">
        <v>107</v>
      </c>
      <c r="D46" s="60" t="s">
        <v>104</v>
      </c>
      <c r="E46" s="60" t="s">
        <v>105</v>
      </c>
      <c r="F46" s="60" t="s">
        <v>106</v>
      </c>
      <c r="G46" s="60"/>
      <c r="H46" s="60"/>
      <c r="I46" s="60"/>
      <c r="J46" s="60"/>
      <c r="K46" s="60"/>
      <c r="L46" s="60"/>
      <c r="M46" s="60"/>
      <c r="N46" s="60"/>
      <c r="O46" s="60"/>
    </row>
    <row r="47" spans="2:15" x14ac:dyDescent="0.3">
      <c r="B47" s="60" t="s">
        <v>101</v>
      </c>
      <c r="C47" s="60"/>
      <c r="D47" s="60">
        <v>10</v>
      </c>
      <c r="E47" s="60">
        <v>4</v>
      </c>
      <c r="F47" s="60">
        <v>7</v>
      </c>
      <c r="G47" s="60"/>
      <c r="H47" s="60"/>
      <c r="I47" s="60"/>
      <c r="J47" s="60"/>
      <c r="K47" s="60"/>
      <c r="L47" s="60"/>
      <c r="M47" s="60"/>
      <c r="N47" s="60"/>
      <c r="O47" s="60"/>
    </row>
    <row r="48" spans="2:15" x14ac:dyDescent="0.3">
      <c r="B48" s="60" t="s">
        <v>103</v>
      </c>
      <c r="C48" s="60"/>
      <c r="D48" s="60">
        <v>-3</v>
      </c>
      <c r="E48" s="60">
        <v>-2</v>
      </c>
      <c r="F48" s="60">
        <v>-1</v>
      </c>
      <c r="G48" s="60"/>
      <c r="H48" s="60"/>
      <c r="I48" s="60"/>
      <c r="J48" s="60"/>
      <c r="K48" s="60"/>
      <c r="L48" s="60"/>
      <c r="M48" s="60"/>
      <c r="N48" s="60"/>
      <c r="O48" s="60"/>
    </row>
    <row r="49" spans="2:15" x14ac:dyDescent="0.3">
      <c r="B49" s="60" t="s">
        <v>102</v>
      </c>
      <c r="C49" s="60"/>
      <c r="D49" s="60">
        <v>-5</v>
      </c>
      <c r="E49" s="60">
        <v>-4</v>
      </c>
      <c r="F49" s="60">
        <v>-12</v>
      </c>
      <c r="G49" s="60"/>
      <c r="H49" s="60"/>
      <c r="I49" s="60"/>
      <c r="J49" s="60"/>
      <c r="K49" s="60"/>
      <c r="L49" s="60"/>
      <c r="M49" s="60"/>
      <c r="N49" s="60"/>
      <c r="O49" s="60"/>
    </row>
    <row r="50" spans="2:15" x14ac:dyDescent="0.3">
      <c r="B50" s="61" t="s">
        <v>108</v>
      </c>
      <c r="C50" s="61">
        <v>30</v>
      </c>
      <c r="D50" s="61">
        <f>SUM(D47:D49)+C50</f>
        <v>32</v>
      </c>
      <c r="E50" s="61">
        <f>SUM(E47:E49)+D50</f>
        <v>30</v>
      </c>
      <c r="F50" s="61">
        <f>SUM(F47:F49)+E50</f>
        <v>24</v>
      </c>
      <c r="G50" s="61"/>
      <c r="H50" s="61"/>
      <c r="I50" s="61"/>
      <c r="J50" s="61"/>
      <c r="K50" s="61"/>
      <c r="L50" s="61"/>
      <c r="M50" s="61"/>
      <c r="N50" s="61"/>
      <c r="O50" s="61"/>
    </row>
    <row r="51" spans="2:15" x14ac:dyDescent="0.3"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  <row r="52" spans="2:15" x14ac:dyDescent="0.3"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</row>
    <row r="53" spans="2:15" x14ac:dyDescent="0.3"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</row>
    <row r="54" spans="2:15" x14ac:dyDescent="0.3"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</row>
    <row r="55" spans="2:15" x14ac:dyDescent="0.3"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</row>
    <row r="56" spans="2:15" x14ac:dyDescent="0.3"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</row>
    <row r="57" spans="2:15" x14ac:dyDescent="0.3"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</row>
    <row r="58" spans="2:15" x14ac:dyDescent="0.3"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</row>
    <row r="59" spans="2:15" x14ac:dyDescent="0.3"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</row>
    <row r="60" spans="2:15" x14ac:dyDescent="0.3"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</row>
    <row r="61" spans="2:15" x14ac:dyDescent="0.3"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</row>
    <row r="62" spans="2:15" x14ac:dyDescent="0.3"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</row>
    <row r="63" spans="2:15" x14ac:dyDescent="0.3"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</row>
    <row r="64" spans="2:15" x14ac:dyDescent="0.3"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</row>
    <row r="65" spans="2:15" x14ac:dyDescent="0.3"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</row>
    <row r="66" spans="2:15" x14ac:dyDescent="0.3"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</row>
    <row r="67" spans="2:15" x14ac:dyDescent="0.3"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</row>
    <row r="68" spans="2:15" x14ac:dyDescent="0.3"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</row>
    <row r="69" spans="2:15" x14ac:dyDescent="0.3"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</row>
    <row r="70" spans="2:15" x14ac:dyDescent="0.3"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</row>
    <row r="71" spans="2:15" x14ac:dyDescent="0.3"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</row>
    <row r="72" spans="2:15" x14ac:dyDescent="0.3"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</row>
    <row r="73" spans="2:15" x14ac:dyDescent="0.3"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</row>
    <row r="74" spans="2:15" x14ac:dyDescent="0.3"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</row>
    <row r="75" spans="2:15" x14ac:dyDescent="0.3"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</row>
    <row r="76" spans="2:15" x14ac:dyDescent="0.3"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</row>
    <row r="77" spans="2:15" x14ac:dyDescent="0.3"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</row>
    <row r="78" spans="2:15" x14ac:dyDescent="0.3"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L15"/>
  <sheetViews>
    <sheetView zoomScale="80" zoomScaleNormal="80" workbookViewId="0">
      <selection activeCell="F30" sqref="F30"/>
    </sheetView>
  </sheetViews>
  <sheetFormatPr defaultRowHeight="14.4" x14ac:dyDescent="0.3"/>
  <sheetData>
    <row r="4" spans="2:12" x14ac:dyDescent="0.3">
      <c r="B4" t="s">
        <v>93</v>
      </c>
    </row>
    <row r="5" spans="2:12" x14ac:dyDescent="0.3">
      <c r="B5" t="s">
        <v>76</v>
      </c>
    </row>
    <row r="6" spans="2:12" x14ac:dyDescent="0.3">
      <c r="B6" t="s">
        <v>90</v>
      </c>
    </row>
    <row r="7" spans="2:12" x14ac:dyDescent="0.3">
      <c r="B7" t="s">
        <v>97</v>
      </c>
    </row>
    <row r="8" spans="2:12" x14ac:dyDescent="0.3">
      <c r="B8" t="s">
        <v>98</v>
      </c>
      <c r="L8" s="56"/>
    </row>
    <row r="9" spans="2:12" x14ac:dyDescent="0.3">
      <c r="B9" t="s">
        <v>92</v>
      </c>
    </row>
    <row r="10" spans="2:12" x14ac:dyDescent="0.3">
      <c r="B10" t="s">
        <v>91</v>
      </c>
    </row>
    <row r="13" spans="2:12" x14ac:dyDescent="0.3">
      <c r="B13" t="s">
        <v>94</v>
      </c>
    </row>
    <row r="14" spans="2:12" x14ac:dyDescent="0.3">
      <c r="B14" t="s">
        <v>95</v>
      </c>
    </row>
    <row r="15" spans="2:12" x14ac:dyDescent="0.3">
      <c r="B15" t="s">
        <v>96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F0057-2B35-44B0-AC9E-0817C04F3166}">
  <dimension ref="B2:E11"/>
  <sheetViews>
    <sheetView workbookViewId="0"/>
  </sheetViews>
  <sheetFormatPr defaultRowHeight="14.4" x14ac:dyDescent="0.3"/>
  <cols>
    <col min="2" max="2" width="26.88671875" customWidth="1"/>
  </cols>
  <sheetData>
    <row r="2" spans="2:5" x14ac:dyDescent="0.3">
      <c r="B2" s="62" t="s">
        <v>109</v>
      </c>
      <c r="E2" s="62" t="s">
        <v>114</v>
      </c>
    </row>
    <row r="4" spans="2:5" x14ac:dyDescent="0.3">
      <c r="B4" t="s">
        <v>113</v>
      </c>
      <c r="C4">
        <v>110</v>
      </c>
    </row>
    <row r="5" spans="2:5" x14ac:dyDescent="0.3">
      <c r="B5" t="s">
        <v>110</v>
      </c>
      <c r="C5" s="64">
        <v>1.1000000000000001</v>
      </c>
    </row>
    <row r="7" spans="2:5" ht="28.8" x14ac:dyDescent="0.3">
      <c r="B7" s="63" t="s">
        <v>111</v>
      </c>
      <c r="C7">
        <f>C4/C5</f>
        <v>99.999999999999986</v>
      </c>
    </row>
    <row r="8" spans="2:5" x14ac:dyDescent="0.3">
      <c r="B8" s="63"/>
    </row>
    <row r="11" spans="2:5" ht="28.8" x14ac:dyDescent="0.3">
      <c r="B11" s="63" t="s">
        <v>112</v>
      </c>
      <c r="C11" s="64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81"/>
  <sheetViews>
    <sheetView tabSelected="1" topLeftCell="A52" zoomScale="80" zoomScaleNormal="80" workbookViewId="0">
      <selection activeCell="G67" sqref="G67"/>
    </sheetView>
  </sheetViews>
  <sheetFormatPr defaultColWidth="8.77734375" defaultRowHeight="10.199999999999999" outlineLevelRow="1" x14ac:dyDescent="0.2"/>
  <cols>
    <col min="1" max="1" width="8.77734375" style="1"/>
    <col min="2" max="2" width="5.109375" style="1" customWidth="1"/>
    <col min="3" max="3" width="32.109375" style="1" customWidth="1"/>
    <col min="4" max="4" width="12.77734375" style="1" customWidth="1"/>
    <col min="5" max="5" width="8.77734375" style="48"/>
    <col min="6" max="6" width="8.77734375" style="1"/>
    <col min="7" max="7" width="24.5546875" style="1" customWidth="1"/>
    <col min="8" max="8" width="8.77734375" style="1"/>
    <col min="9" max="9" width="8.77734375" style="48"/>
    <col min="10" max="10" width="5.109375" style="1" customWidth="1"/>
    <col min="11" max="12" width="8.77734375" style="1"/>
    <col min="13" max="13" width="10.109375" style="1" bestFit="1" customWidth="1"/>
    <col min="14" max="16384" width="8.77734375" style="1"/>
  </cols>
  <sheetData>
    <row r="1" spans="2:13" x14ac:dyDescent="0.2">
      <c r="E1" s="31"/>
      <c r="I1" s="31"/>
    </row>
    <row r="2" spans="2:13" x14ac:dyDescent="0.2">
      <c r="C2" s="17" t="s">
        <v>48</v>
      </c>
      <c r="E2" s="31"/>
      <c r="I2" s="31"/>
    </row>
    <row r="3" spans="2:13" ht="10.8" outlineLevel="1" thickBot="1" x14ac:dyDescent="0.25">
      <c r="E3" s="31"/>
      <c r="I3" s="31"/>
    </row>
    <row r="4" spans="2:13" outlineLevel="1" x14ac:dyDescent="0.2">
      <c r="B4" s="22"/>
      <c r="C4" s="23"/>
      <c r="D4" s="23"/>
      <c r="E4" s="32"/>
      <c r="F4" s="23"/>
      <c r="G4" s="23"/>
      <c r="H4" s="23"/>
      <c r="I4" s="32"/>
      <c r="J4" s="24"/>
    </row>
    <row r="5" spans="2:13" outlineLevel="1" x14ac:dyDescent="0.2">
      <c r="B5" s="25"/>
      <c r="C5" s="17" t="s">
        <v>18</v>
      </c>
      <c r="D5" s="17" t="s">
        <v>50</v>
      </c>
      <c r="E5" s="33" t="s">
        <v>51</v>
      </c>
      <c r="F5" s="17"/>
      <c r="G5" s="17" t="s">
        <v>19</v>
      </c>
      <c r="I5" s="33" t="s">
        <v>51</v>
      </c>
      <c r="J5" s="26"/>
    </row>
    <row r="6" spans="2:13" outlineLevel="1" x14ac:dyDescent="0.2">
      <c r="B6" s="25"/>
      <c r="C6" s="17" t="s">
        <v>0</v>
      </c>
      <c r="D6" s="17">
        <v>5</v>
      </c>
      <c r="E6" s="33">
        <v>0</v>
      </c>
      <c r="G6" s="18" t="s">
        <v>39</v>
      </c>
      <c r="H6" s="17">
        <f>SUM(H7:H9)</f>
        <v>19</v>
      </c>
      <c r="I6" s="33">
        <v>8.3000000000000004E-2</v>
      </c>
      <c r="J6" s="26"/>
    </row>
    <row r="7" spans="2:13" outlineLevel="1" x14ac:dyDescent="0.2">
      <c r="B7" s="25"/>
      <c r="C7" s="18" t="s">
        <v>1</v>
      </c>
      <c r="D7" s="17">
        <v>10</v>
      </c>
      <c r="E7" s="33">
        <v>5.0000000000000001E-3</v>
      </c>
      <c r="G7" s="2" t="s">
        <v>47</v>
      </c>
      <c r="H7" s="1">
        <v>3</v>
      </c>
      <c r="I7" s="31"/>
      <c r="J7" s="26"/>
    </row>
    <row r="8" spans="2:13" outlineLevel="1" x14ac:dyDescent="0.2">
      <c r="B8" s="25"/>
      <c r="C8" s="17" t="s">
        <v>78</v>
      </c>
      <c r="D8" s="17">
        <f>SUM(D9:D11)</f>
        <v>90</v>
      </c>
      <c r="E8" s="33">
        <v>7.2999999999999995E-2</v>
      </c>
      <c r="G8" s="2" t="s">
        <v>25</v>
      </c>
      <c r="H8" s="1">
        <v>4</v>
      </c>
      <c r="I8" s="34"/>
      <c r="J8" s="26"/>
    </row>
    <row r="9" spans="2:13" outlineLevel="1" x14ac:dyDescent="0.2">
      <c r="B9" s="25"/>
      <c r="C9" s="16" t="s">
        <v>2</v>
      </c>
      <c r="D9" s="1">
        <v>10</v>
      </c>
      <c r="E9" s="34"/>
      <c r="G9" s="2" t="s">
        <v>26</v>
      </c>
      <c r="H9" s="1">
        <v>12</v>
      </c>
      <c r="I9" s="34"/>
      <c r="J9" s="26"/>
    </row>
    <row r="10" spans="2:13" outlineLevel="1" x14ac:dyDescent="0.2">
      <c r="B10" s="25"/>
      <c r="C10" s="16" t="s">
        <v>3</v>
      </c>
      <c r="D10" s="1">
        <v>50</v>
      </c>
      <c r="E10" s="34"/>
      <c r="G10" s="17" t="s">
        <v>35</v>
      </c>
      <c r="H10" s="17">
        <f>SUM(H11:H17)</f>
        <v>35</v>
      </c>
      <c r="I10" s="33"/>
      <c r="J10" s="26"/>
    </row>
    <row r="11" spans="2:13" outlineLevel="1" x14ac:dyDescent="0.2">
      <c r="B11" s="25"/>
      <c r="C11" s="16" t="s">
        <v>29</v>
      </c>
      <c r="D11" s="1">
        <v>30</v>
      </c>
      <c r="E11" s="34"/>
      <c r="G11" s="2" t="s">
        <v>47</v>
      </c>
      <c r="H11" s="1">
        <v>3</v>
      </c>
      <c r="I11" s="34"/>
      <c r="J11" s="26"/>
    </row>
    <row r="12" spans="2:13" outlineLevel="1" x14ac:dyDescent="0.2">
      <c r="B12" s="25"/>
      <c r="C12" s="17" t="s">
        <v>79</v>
      </c>
      <c r="E12" s="34"/>
      <c r="G12" s="2"/>
      <c r="I12" s="34"/>
      <c r="J12" s="26"/>
    </row>
    <row r="13" spans="2:13" outlineLevel="1" x14ac:dyDescent="0.2">
      <c r="B13" s="25"/>
      <c r="C13" s="16" t="s">
        <v>2</v>
      </c>
      <c r="E13" s="34"/>
      <c r="G13" s="2"/>
      <c r="I13" s="34"/>
      <c r="J13" s="26"/>
    </row>
    <row r="14" spans="2:13" outlineLevel="1" x14ac:dyDescent="0.2">
      <c r="B14" s="25"/>
      <c r="C14" s="16" t="s">
        <v>3</v>
      </c>
      <c r="E14" s="34"/>
      <c r="G14" s="2"/>
      <c r="I14" s="34"/>
      <c r="J14" s="26"/>
    </row>
    <row r="15" spans="2:13" outlineLevel="1" x14ac:dyDescent="0.2">
      <c r="B15" s="25"/>
      <c r="C15" s="16" t="s">
        <v>29</v>
      </c>
      <c r="E15" s="34"/>
      <c r="G15" s="2"/>
      <c r="I15" s="34"/>
      <c r="J15" s="26"/>
    </row>
    <row r="16" spans="2:13" outlineLevel="1" x14ac:dyDescent="0.2">
      <c r="B16" s="25"/>
      <c r="C16" s="17" t="s">
        <v>20</v>
      </c>
      <c r="D16" s="17">
        <f>SUM(D17:D21)</f>
        <v>43</v>
      </c>
      <c r="E16" s="33">
        <v>0.02</v>
      </c>
      <c r="G16" s="2" t="s">
        <v>25</v>
      </c>
      <c r="H16" s="1">
        <v>7</v>
      </c>
      <c r="I16" s="34"/>
      <c r="J16" s="26"/>
      <c r="M16" s="2"/>
    </row>
    <row r="17" spans="2:10" outlineLevel="1" x14ac:dyDescent="0.2">
      <c r="B17" s="25"/>
      <c r="C17" s="2" t="s">
        <v>47</v>
      </c>
      <c r="D17" s="1">
        <v>5</v>
      </c>
      <c r="E17" s="34"/>
      <c r="G17" s="2" t="s">
        <v>26</v>
      </c>
      <c r="H17" s="1">
        <v>25</v>
      </c>
      <c r="I17" s="34"/>
      <c r="J17" s="26"/>
    </row>
    <row r="18" spans="2:10" outlineLevel="1" x14ac:dyDescent="0.2">
      <c r="B18" s="25"/>
      <c r="C18" s="2"/>
      <c r="E18" s="34"/>
      <c r="G18" s="2"/>
      <c r="I18" s="34"/>
      <c r="J18" s="26"/>
    </row>
    <row r="19" spans="2:10" outlineLevel="1" x14ac:dyDescent="0.2">
      <c r="B19" s="25"/>
      <c r="C19" s="2" t="s">
        <v>25</v>
      </c>
      <c r="D19" s="1">
        <v>3</v>
      </c>
      <c r="E19" s="34"/>
      <c r="G19" s="17" t="s">
        <v>33</v>
      </c>
      <c r="H19" s="17">
        <f>SUM(H20:H22)</f>
        <v>215</v>
      </c>
      <c r="I19" s="33">
        <v>7.0000000000000007E-2</v>
      </c>
      <c r="J19" s="26"/>
    </row>
    <row r="20" spans="2:10" outlineLevel="1" x14ac:dyDescent="0.2">
      <c r="B20" s="25"/>
      <c r="C20" s="2" t="s">
        <v>36</v>
      </c>
      <c r="D20" s="1">
        <v>15</v>
      </c>
      <c r="E20" s="34"/>
      <c r="G20" s="2" t="s">
        <v>25</v>
      </c>
      <c r="H20" s="1">
        <v>12</v>
      </c>
      <c r="I20" s="34"/>
      <c r="J20" s="26"/>
    </row>
    <row r="21" spans="2:10" outlineLevel="1" x14ac:dyDescent="0.2">
      <c r="B21" s="25"/>
      <c r="C21" s="2" t="s">
        <v>30</v>
      </c>
      <c r="D21" s="1">
        <v>20</v>
      </c>
      <c r="E21" s="34"/>
      <c r="G21" s="2" t="s">
        <v>37</v>
      </c>
      <c r="H21" s="1">
        <v>50</v>
      </c>
      <c r="I21" s="34"/>
      <c r="J21" s="26"/>
    </row>
    <row r="22" spans="2:10" outlineLevel="1" x14ac:dyDescent="0.2">
      <c r="B22" s="25"/>
      <c r="C22" s="17" t="s">
        <v>23</v>
      </c>
      <c r="D22" s="17">
        <f>SUM(D24:D26)</f>
        <v>120</v>
      </c>
      <c r="E22" s="33">
        <v>0.115</v>
      </c>
      <c r="G22" s="2" t="s">
        <v>38</v>
      </c>
      <c r="H22" s="1">
        <v>153</v>
      </c>
      <c r="I22" s="34"/>
      <c r="J22" s="26"/>
    </row>
    <row r="23" spans="2:10" outlineLevel="1" x14ac:dyDescent="0.2">
      <c r="B23" s="25"/>
      <c r="C23" s="17"/>
      <c r="D23" s="17"/>
      <c r="E23" s="33"/>
      <c r="G23" s="2"/>
      <c r="I23" s="34"/>
      <c r="J23" s="26"/>
    </row>
    <row r="24" spans="2:10" outlineLevel="1" x14ac:dyDescent="0.2">
      <c r="B24" s="25"/>
      <c r="C24" s="2" t="s">
        <v>25</v>
      </c>
      <c r="D24" s="1">
        <v>20</v>
      </c>
      <c r="E24" s="34"/>
      <c r="G24" s="17" t="s">
        <v>34</v>
      </c>
      <c r="H24" s="17">
        <f>SUM(H25:H29)</f>
        <v>83</v>
      </c>
      <c r="I24" s="33">
        <v>0.08</v>
      </c>
      <c r="J24" s="26"/>
    </row>
    <row r="25" spans="2:10" outlineLevel="1" x14ac:dyDescent="0.2">
      <c r="B25" s="25"/>
      <c r="C25" s="2" t="s">
        <v>36</v>
      </c>
      <c r="D25" s="1">
        <v>40</v>
      </c>
      <c r="E25" s="34"/>
      <c r="G25" s="2" t="s">
        <v>25</v>
      </c>
      <c r="H25" s="1">
        <v>4</v>
      </c>
      <c r="I25" s="33"/>
      <c r="J25" s="26"/>
    </row>
    <row r="26" spans="2:10" outlineLevel="1" x14ac:dyDescent="0.2">
      <c r="B26" s="25"/>
      <c r="C26" s="2" t="s">
        <v>30</v>
      </c>
      <c r="D26" s="1">
        <v>60</v>
      </c>
      <c r="E26" s="34"/>
      <c r="G26" s="2" t="s">
        <v>36</v>
      </c>
      <c r="H26" s="1">
        <v>19</v>
      </c>
      <c r="I26" s="34"/>
      <c r="J26" s="26"/>
    </row>
    <row r="27" spans="2:10" outlineLevel="1" x14ac:dyDescent="0.2">
      <c r="B27" s="25"/>
      <c r="C27" s="2"/>
      <c r="E27" s="34"/>
      <c r="G27" s="2"/>
      <c r="I27" s="34"/>
      <c r="J27" s="26"/>
    </row>
    <row r="28" spans="2:10" outlineLevel="1" x14ac:dyDescent="0.2">
      <c r="B28" s="25"/>
      <c r="C28" s="17" t="s">
        <v>24</v>
      </c>
      <c r="D28" s="17">
        <f>SUM(D29:D31)</f>
        <v>145</v>
      </c>
      <c r="E28" s="33">
        <v>0.15</v>
      </c>
      <c r="G28" s="2" t="s">
        <v>56</v>
      </c>
      <c r="H28" s="1">
        <v>20</v>
      </c>
      <c r="I28" s="34"/>
      <c r="J28" s="26"/>
    </row>
    <row r="29" spans="2:10" outlineLevel="1" x14ac:dyDescent="0.2">
      <c r="B29" s="25"/>
      <c r="C29" s="2" t="s">
        <v>25</v>
      </c>
      <c r="D29" s="1">
        <v>15</v>
      </c>
      <c r="E29" s="34"/>
      <c r="G29" s="2" t="s">
        <v>38</v>
      </c>
      <c r="H29" s="1">
        <v>40</v>
      </c>
      <c r="I29" s="34"/>
      <c r="J29" s="26"/>
    </row>
    <row r="30" spans="2:10" outlineLevel="1" x14ac:dyDescent="0.2">
      <c r="B30" s="25"/>
      <c r="C30" s="2" t="s">
        <v>36</v>
      </c>
      <c r="D30" s="1">
        <v>30</v>
      </c>
      <c r="E30" s="34"/>
      <c r="G30" s="17" t="s">
        <v>42</v>
      </c>
      <c r="H30" s="17">
        <f>SUM(H31:H34)</f>
        <v>20</v>
      </c>
      <c r="I30" s="33">
        <v>0.04</v>
      </c>
      <c r="J30" s="26"/>
    </row>
    <row r="31" spans="2:10" outlineLevel="1" x14ac:dyDescent="0.2">
      <c r="B31" s="25"/>
      <c r="C31" s="2" t="s">
        <v>30</v>
      </c>
      <c r="D31" s="1">
        <v>100</v>
      </c>
      <c r="E31" s="34"/>
      <c r="G31" s="2" t="s">
        <v>25</v>
      </c>
      <c r="H31" s="1">
        <v>4</v>
      </c>
      <c r="I31" s="1"/>
      <c r="J31" s="26"/>
    </row>
    <row r="32" spans="2:10" outlineLevel="1" x14ac:dyDescent="0.2">
      <c r="B32" s="25"/>
      <c r="C32" s="2"/>
      <c r="E32" s="34"/>
      <c r="G32" s="2"/>
      <c r="I32" s="1"/>
      <c r="J32" s="26"/>
    </row>
    <row r="33" spans="2:10" ht="20.399999999999999" outlineLevel="1" x14ac:dyDescent="0.2">
      <c r="B33" s="25"/>
      <c r="C33" s="55" t="s">
        <v>77</v>
      </c>
      <c r="D33" s="17">
        <v>15</v>
      </c>
      <c r="E33" s="1"/>
      <c r="G33" s="2" t="s">
        <v>36</v>
      </c>
      <c r="H33" s="1">
        <v>7</v>
      </c>
      <c r="I33" s="1"/>
      <c r="J33" s="26"/>
    </row>
    <row r="34" spans="2:10" outlineLevel="1" x14ac:dyDescent="0.2">
      <c r="B34" s="25"/>
      <c r="C34" s="18" t="s">
        <v>14</v>
      </c>
      <c r="D34" s="17">
        <v>7</v>
      </c>
      <c r="E34" s="33" t="s">
        <v>52</v>
      </c>
      <c r="G34" s="2" t="s">
        <v>30</v>
      </c>
      <c r="H34" s="1">
        <v>9</v>
      </c>
      <c r="I34" s="1"/>
      <c r="J34" s="26"/>
    </row>
    <row r="35" spans="2:10" outlineLevel="1" x14ac:dyDescent="0.2">
      <c r="B35" s="25"/>
      <c r="E35" s="34"/>
      <c r="F35" s="17"/>
      <c r="G35" s="18" t="s">
        <v>40</v>
      </c>
      <c r="H35" s="17">
        <f>SUM(H36:H37)</f>
        <v>18</v>
      </c>
      <c r="I35" s="33" t="s">
        <v>52</v>
      </c>
      <c r="J35" s="26"/>
    </row>
    <row r="36" spans="2:10" outlineLevel="1" x14ac:dyDescent="0.2">
      <c r="B36" s="25"/>
      <c r="E36" s="34"/>
      <c r="G36" s="2" t="s">
        <v>25</v>
      </c>
      <c r="H36" s="1">
        <v>3</v>
      </c>
      <c r="I36" s="34"/>
      <c r="J36" s="26"/>
    </row>
    <row r="37" spans="2:10" outlineLevel="1" x14ac:dyDescent="0.2">
      <c r="B37" s="25"/>
      <c r="E37" s="34"/>
      <c r="G37" s="2" t="s">
        <v>26</v>
      </c>
      <c r="H37" s="1">
        <v>15</v>
      </c>
      <c r="I37" s="34"/>
      <c r="J37" s="26"/>
    </row>
    <row r="38" spans="2:10" outlineLevel="1" x14ac:dyDescent="0.2">
      <c r="B38" s="25"/>
      <c r="E38" s="34"/>
      <c r="G38" s="2"/>
      <c r="I38" s="34"/>
      <c r="J38" s="26"/>
    </row>
    <row r="39" spans="2:10" outlineLevel="1" x14ac:dyDescent="0.2">
      <c r="B39" s="25"/>
      <c r="E39" s="34"/>
      <c r="G39" s="2"/>
      <c r="I39" s="34"/>
      <c r="J39" s="26"/>
    </row>
    <row r="40" spans="2:10" outlineLevel="1" x14ac:dyDescent="0.2">
      <c r="B40" s="25"/>
      <c r="E40" s="34"/>
      <c r="G40" s="18" t="s">
        <v>10</v>
      </c>
      <c r="H40" s="17">
        <v>10</v>
      </c>
      <c r="I40" s="33"/>
      <c r="J40" s="26"/>
    </row>
    <row r="41" spans="2:10" outlineLevel="1" x14ac:dyDescent="0.2">
      <c r="B41" s="25"/>
      <c r="E41" s="34"/>
      <c r="G41" s="17" t="s">
        <v>32</v>
      </c>
      <c r="H41" s="17">
        <v>35</v>
      </c>
      <c r="I41" s="33"/>
      <c r="J41" s="26"/>
    </row>
    <row r="42" spans="2:10" outlineLevel="1" x14ac:dyDescent="0.2">
      <c r="B42" s="25"/>
      <c r="E42" s="34"/>
      <c r="G42" s="15"/>
      <c r="I42" s="34"/>
      <c r="J42" s="26"/>
    </row>
    <row r="43" spans="2:10" ht="13.2" outlineLevel="1" x14ac:dyDescent="0.25">
      <c r="B43" s="25"/>
      <c r="C43" s="19" t="s">
        <v>31</v>
      </c>
      <c r="D43" s="19">
        <f>D6+D7+D8+D16+D22+D28+D33+D34</f>
        <v>435</v>
      </c>
      <c r="E43" s="35"/>
      <c r="G43" s="20" t="s">
        <v>41</v>
      </c>
      <c r="H43" s="19">
        <f>H6+H10+H19+H24+H30+H35+H40+H41</f>
        <v>435</v>
      </c>
      <c r="I43" s="35"/>
      <c r="J43" s="26"/>
    </row>
    <row r="44" spans="2:10" outlineLevel="1" x14ac:dyDescent="0.2">
      <c r="B44" s="25"/>
      <c r="E44" s="34"/>
      <c r="G44" s="15"/>
      <c r="I44" s="34"/>
      <c r="J44" s="26"/>
    </row>
    <row r="45" spans="2:10" outlineLevel="1" x14ac:dyDescent="0.2">
      <c r="B45" s="25"/>
      <c r="C45" s="15" t="s">
        <v>9</v>
      </c>
      <c r="D45" s="1">
        <v>150</v>
      </c>
      <c r="E45" s="34"/>
      <c r="G45" s="15"/>
      <c r="I45" s="34"/>
      <c r="J45" s="26"/>
    </row>
    <row r="46" spans="2:10" ht="10.8" thickBot="1" x14ac:dyDescent="0.25">
      <c r="B46" s="27"/>
      <c r="C46" s="28"/>
      <c r="D46" s="28"/>
      <c r="E46" s="36"/>
      <c r="F46" s="28"/>
      <c r="G46" s="28"/>
      <c r="H46" s="28"/>
      <c r="I46" s="36"/>
      <c r="J46" s="29"/>
    </row>
    <row r="47" spans="2:10" x14ac:dyDescent="0.2">
      <c r="E47" s="31"/>
      <c r="I47" s="31"/>
    </row>
    <row r="48" spans="2:10" s="38" customFormat="1" ht="15.6" x14ac:dyDescent="0.2">
      <c r="C48" s="39" t="s">
        <v>75</v>
      </c>
      <c r="E48" s="40"/>
      <c r="I48" s="40"/>
    </row>
    <row r="49" spans="3:9" x14ac:dyDescent="0.2">
      <c r="E49" s="31"/>
      <c r="I49" s="31"/>
    </row>
    <row r="50" spans="3:9" s="41" customFormat="1" ht="15.6" x14ac:dyDescent="0.3">
      <c r="C50" s="42" t="s">
        <v>45</v>
      </c>
      <c r="D50" s="43">
        <f>D53+D56</f>
        <v>50.3</v>
      </c>
      <c r="E50" s="44"/>
      <c r="I50" s="45"/>
    </row>
    <row r="51" spans="3:9" x14ac:dyDescent="0.2">
      <c r="C51" s="46"/>
      <c r="D51" s="47"/>
    </row>
    <row r="52" spans="3:9" x14ac:dyDescent="0.2">
      <c r="D52" s="47"/>
    </row>
    <row r="53" spans="3:9" x14ac:dyDescent="0.2">
      <c r="C53" s="17" t="s">
        <v>44</v>
      </c>
      <c r="D53" s="49">
        <f>SUM(D54:D54)</f>
        <v>9</v>
      </c>
      <c r="E53" s="50"/>
    </row>
    <row r="54" spans="3:9" x14ac:dyDescent="0.2">
      <c r="C54" s="51" t="s">
        <v>58</v>
      </c>
      <c r="D54" s="47">
        <f>D17+D7-H7-H11</f>
        <v>9</v>
      </c>
      <c r="E54" s="50"/>
    </row>
    <row r="55" spans="3:9" x14ac:dyDescent="0.2">
      <c r="D55" s="47"/>
    </row>
    <row r="56" spans="3:9" x14ac:dyDescent="0.2">
      <c r="C56" s="17" t="s">
        <v>53</v>
      </c>
      <c r="D56" s="49">
        <f>SUM(D57:D58)</f>
        <v>41.3</v>
      </c>
      <c r="E56" s="50"/>
    </row>
    <row r="57" spans="3:9" ht="30.6" x14ac:dyDescent="0.2">
      <c r="C57" s="51" t="s">
        <v>49</v>
      </c>
      <c r="D57" s="47">
        <f>20%*(D22+D28)*(1-40%)</f>
        <v>31.799999999999997</v>
      </c>
    </row>
    <row r="58" spans="3:9" ht="30.6" x14ac:dyDescent="0.2">
      <c r="C58" s="51" t="s">
        <v>46</v>
      </c>
      <c r="D58" s="47">
        <f>D9*(1-5%)</f>
        <v>9.5</v>
      </c>
    </row>
    <row r="59" spans="3:9" x14ac:dyDescent="0.2">
      <c r="C59" s="21"/>
      <c r="D59" s="52"/>
    </row>
    <row r="61" spans="3:9" s="53" customFormat="1" ht="15.6" x14ac:dyDescent="0.3">
      <c r="C61" s="42" t="s">
        <v>57</v>
      </c>
      <c r="D61" s="53">
        <f>D63-D64</f>
        <v>77</v>
      </c>
      <c r="E61" s="44"/>
      <c r="I61" s="44"/>
    </row>
    <row r="62" spans="3:9" x14ac:dyDescent="0.2">
      <c r="C62" s="54"/>
    </row>
    <row r="63" spans="3:9" x14ac:dyDescent="0.2">
      <c r="C63" s="15" t="s">
        <v>55</v>
      </c>
      <c r="D63" s="1">
        <f>D6+D7+D17+D19+D20+D24+D25+D29+D30</f>
        <v>143</v>
      </c>
    </row>
    <row r="64" spans="3:9" x14ac:dyDescent="0.2">
      <c r="C64" s="15" t="s">
        <v>54</v>
      </c>
      <c r="D64" s="1">
        <f>H7+H8+H11+H16+H20+H25+H26+H31+H33+H36</f>
        <v>66</v>
      </c>
    </row>
    <row r="65" spans="3:9" x14ac:dyDescent="0.2">
      <c r="C65" s="54"/>
    </row>
    <row r="67" spans="3:9" s="38" customFormat="1" ht="15.6" x14ac:dyDescent="0.2">
      <c r="C67" s="39" t="s">
        <v>123</v>
      </c>
      <c r="E67" s="40"/>
      <c r="I67" s="40"/>
    </row>
    <row r="70" spans="3:9" ht="10.8" thickBot="1" x14ac:dyDescent="0.25">
      <c r="D70" s="65"/>
      <c r="E70" s="1" t="s">
        <v>115</v>
      </c>
    </row>
    <row r="71" spans="3:9" ht="15.6" thickBot="1" x14ac:dyDescent="0.3">
      <c r="C71" s="66" t="s">
        <v>15</v>
      </c>
      <c r="D71" s="67">
        <f>D73/(D74-D75)</f>
        <v>2.2624434389140271</v>
      </c>
      <c r="E71" s="1"/>
    </row>
    <row r="72" spans="3:9" x14ac:dyDescent="0.2">
      <c r="D72" s="65"/>
      <c r="E72" s="1"/>
    </row>
    <row r="73" spans="3:9" x14ac:dyDescent="0.2">
      <c r="C73" s="68" t="s">
        <v>116</v>
      </c>
      <c r="D73" s="65">
        <f>D6+D7+D9+D10*50%</f>
        <v>50</v>
      </c>
      <c r="E73" s="1"/>
    </row>
    <row r="74" spans="3:9" x14ac:dyDescent="0.2">
      <c r="C74" s="69" t="s">
        <v>117</v>
      </c>
      <c r="D74" s="65">
        <f>H19*10%+H25*40%+SUM(H11,H16)+H31+H36+D45*5%</f>
        <v>47.6</v>
      </c>
      <c r="E74" s="1" t="s">
        <v>118</v>
      </c>
    </row>
    <row r="75" spans="3:9" x14ac:dyDescent="0.2">
      <c r="C75" s="70" t="s">
        <v>119</v>
      </c>
      <c r="D75" s="71">
        <f>D17+D19+(D24+D29)*50%</f>
        <v>25.5</v>
      </c>
      <c r="E75" s="1"/>
    </row>
    <row r="76" spans="3:9" x14ac:dyDescent="0.2">
      <c r="C76" s="72"/>
      <c r="D76" s="71"/>
      <c r="E76" s="1"/>
    </row>
    <row r="77" spans="3:9" ht="10.8" thickBot="1" x14ac:dyDescent="0.25">
      <c r="D77" s="71"/>
      <c r="E77" s="1"/>
    </row>
    <row r="78" spans="3:9" ht="15.6" thickBot="1" x14ac:dyDescent="0.3">
      <c r="C78" s="66" t="s">
        <v>17</v>
      </c>
      <c r="D78" s="74">
        <f>D80/D81</f>
        <v>1.0194268128486248</v>
      </c>
      <c r="E78" s="1"/>
    </row>
    <row r="79" spans="3:9" x14ac:dyDescent="0.2">
      <c r="D79" s="71"/>
      <c r="E79" s="1"/>
    </row>
    <row r="80" spans="3:9" x14ac:dyDescent="0.2">
      <c r="C80" s="70" t="s">
        <v>120</v>
      </c>
      <c r="D80" s="71">
        <f>H40+H29+H19*90%+SUM(H25:H28)*50%</f>
        <v>265</v>
      </c>
      <c r="E80" s="1"/>
    </row>
    <row r="81" spans="3:5" x14ac:dyDescent="0.2">
      <c r="C81" s="73" t="s">
        <v>121</v>
      </c>
      <c r="D81" s="71">
        <f>D9*5%+D10*15%+SUM(D17:D20)*15%+(SUM(D24:D25,D29:D30)+SUM(D21,D26,D31)/2)*50%+SUM(D21,D26,D31)/2*85%+SUM(D6,D7,D11,D33,D34)+D45*5%</f>
        <v>259.95</v>
      </c>
      <c r="E81" s="1" t="s">
        <v>122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31"/>
  <sheetViews>
    <sheetView zoomScale="80" zoomScaleNormal="80" workbookViewId="0">
      <selection activeCell="F12" sqref="F12"/>
    </sheetView>
  </sheetViews>
  <sheetFormatPr defaultColWidth="8.77734375" defaultRowHeight="10.199999999999999" x14ac:dyDescent="0.2"/>
  <cols>
    <col min="1" max="1" width="8.77734375" style="1"/>
    <col min="2" max="2" width="30.21875" style="1" customWidth="1"/>
    <col min="3" max="16384" width="8.77734375" style="1"/>
  </cols>
  <sheetData>
    <row r="1" spans="2:4" ht="10.8" thickBot="1" x14ac:dyDescent="0.25"/>
    <row r="2" spans="2:4" x14ac:dyDescent="0.2">
      <c r="B2" s="12" t="s">
        <v>0</v>
      </c>
      <c r="C2" s="4">
        <v>1</v>
      </c>
      <c r="D2" s="1" t="s">
        <v>15</v>
      </c>
    </row>
    <row r="3" spans="2:4" x14ac:dyDescent="0.2">
      <c r="B3" s="13" t="s">
        <v>1</v>
      </c>
      <c r="C3" s="6">
        <v>1</v>
      </c>
      <c r="D3" s="1" t="s">
        <v>15</v>
      </c>
    </row>
    <row r="4" spans="2:4" x14ac:dyDescent="0.2">
      <c r="B4" s="13" t="s">
        <v>2</v>
      </c>
      <c r="C4" s="6">
        <v>1</v>
      </c>
      <c r="D4" s="1" t="s">
        <v>15</v>
      </c>
    </row>
    <row r="5" spans="2:4" ht="10.8" thickBot="1" x14ac:dyDescent="0.25">
      <c r="B5" s="14" t="s">
        <v>3</v>
      </c>
      <c r="C5" s="8">
        <v>0.5</v>
      </c>
      <c r="D5" s="1" t="s">
        <v>15</v>
      </c>
    </row>
    <row r="6" spans="2:4" ht="10.8" thickBot="1" x14ac:dyDescent="0.25"/>
    <row r="7" spans="2:4" x14ac:dyDescent="0.2">
      <c r="B7" s="3" t="s">
        <v>4</v>
      </c>
      <c r="C7" s="4">
        <v>0</v>
      </c>
      <c r="D7" s="1" t="s">
        <v>15</v>
      </c>
    </row>
    <row r="8" spans="2:4" x14ac:dyDescent="0.2">
      <c r="B8" s="5" t="s">
        <v>5</v>
      </c>
      <c r="C8" s="6">
        <v>0.1</v>
      </c>
      <c r="D8" s="1" t="s">
        <v>15</v>
      </c>
    </row>
    <row r="9" spans="2:4" x14ac:dyDescent="0.2">
      <c r="B9" s="5" t="s">
        <v>6</v>
      </c>
      <c r="C9" s="6">
        <v>0.4</v>
      </c>
      <c r="D9" s="1" t="s">
        <v>15</v>
      </c>
    </row>
    <row r="10" spans="2:4" x14ac:dyDescent="0.2">
      <c r="B10" s="5" t="s">
        <v>7</v>
      </c>
      <c r="C10" s="6">
        <v>1</v>
      </c>
      <c r="D10" s="1" t="s">
        <v>15</v>
      </c>
    </row>
    <row r="11" spans="2:4" x14ac:dyDescent="0.2">
      <c r="B11" s="5" t="s">
        <v>8</v>
      </c>
      <c r="C11" s="6">
        <v>1</v>
      </c>
      <c r="D11" s="1" t="s">
        <v>15</v>
      </c>
    </row>
    <row r="12" spans="2:4" ht="10.8" thickBot="1" x14ac:dyDescent="0.25">
      <c r="B12" s="7" t="s">
        <v>9</v>
      </c>
      <c r="C12" s="9" t="s">
        <v>16</v>
      </c>
      <c r="D12" s="1" t="s">
        <v>15</v>
      </c>
    </row>
    <row r="13" spans="2:4" ht="10.8" thickBot="1" x14ac:dyDescent="0.25"/>
    <row r="14" spans="2:4" x14ac:dyDescent="0.2">
      <c r="B14" s="12" t="s">
        <v>21</v>
      </c>
      <c r="C14" s="10">
        <v>1</v>
      </c>
      <c r="D14" s="1" t="s">
        <v>15</v>
      </c>
    </row>
    <row r="15" spans="2:4" ht="10.8" thickBot="1" x14ac:dyDescent="0.25">
      <c r="B15" s="14" t="s">
        <v>22</v>
      </c>
      <c r="C15" s="11">
        <v>0.5</v>
      </c>
      <c r="D15" s="1" t="s">
        <v>15</v>
      </c>
    </row>
    <row r="17" spans="2:4" ht="10.8" thickBot="1" x14ac:dyDescent="0.25"/>
    <row r="18" spans="2:4" x14ac:dyDescent="0.2">
      <c r="B18" s="3" t="s">
        <v>10</v>
      </c>
      <c r="C18" s="4">
        <v>1</v>
      </c>
      <c r="D18" s="1" t="s">
        <v>17</v>
      </c>
    </row>
    <row r="19" spans="2:4" x14ac:dyDescent="0.2">
      <c r="B19" s="5" t="s">
        <v>11</v>
      </c>
      <c r="C19" s="6">
        <v>1</v>
      </c>
      <c r="D19" s="1" t="s">
        <v>17</v>
      </c>
    </row>
    <row r="20" spans="2:4" x14ac:dyDescent="0.2">
      <c r="B20" s="5" t="s">
        <v>5</v>
      </c>
      <c r="C20" s="6">
        <v>0.9</v>
      </c>
      <c r="D20" s="1" t="s">
        <v>17</v>
      </c>
    </row>
    <row r="21" spans="2:4" x14ac:dyDescent="0.2">
      <c r="B21" s="5" t="s">
        <v>12</v>
      </c>
      <c r="C21" s="6">
        <v>0.5</v>
      </c>
      <c r="D21" s="1" t="s">
        <v>17</v>
      </c>
    </row>
    <row r="22" spans="2:4" ht="10.8" thickBot="1" x14ac:dyDescent="0.25">
      <c r="B22" s="7" t="s">
        <v>43</v>
      </c>
      <c r="C22" s="8">
        <v>0</v>
      </c>
      <c r="D22" s="1" t="s">
        <v>17</v>
      </c>
    </row>
    <row r="23" spans="2:4" ht="10.8" thickBot="1" x14ac:dyDescent="0.25"/>
    <row r="24" spans="2:4" x14ac:dyDescent="0.2">
      <c r="B24" s="12" t="s">
        <v>1</v>
      </c>
      <c r="C24" s="4">
        <v>0</v>
      </c>
      <c r="D24" s="1" t="s">
        <v>17</v>
      </c>
    </row>
    <row r="25" spans="2:4" x14ac:dyDescent="0.2">
      <c r="B25" s="13" t="s">
        <v>2</v>
      </c>
      <c r="C25" s="6">
        <v>0.05</v>
      </c>
      <c r="D25" s="1" t="s">
        <v>17</v>
      </c>
    </row>
    <row r="26" spans="2:4" x14ac:dyDescent="0.2">
      <c r="B26" s="13" t="s">
        <v>3</v>
      </c>
      <c r="C26" s="6">
        <v>0.15</v>
      </c>
      <c r="D26" s="1" t="s">
        <v>17</v>
      </c>
    </row>
    <row r="27" spans="2:4" x14ac:dyDescent="0.2">
      <c r="B27" s="13" t="s">
        <v>13</v>
      </c>
      <c r="C27" s="6">
        <v>0.15</v>
      </c>
      <c r="D27" s="1" t="s">
        <v>17</v>
      </c>
    </row>
    <row r="28" spans="2:4" x14ac:dyDescent="0.2">
      <c r="B28" s="13" t="s">
        <v>27</v>
      </c>
      <c r="C28" s="6">
        <v>0.5</v>
      </c>
      <c r="D28" s="1" t="s">
        <v>17</v>
      </c>
    </row>
    <row r="29" spans="2:4" x14ac:dyDescent="0.2">
      <c r="B29" s="13" t="s">
        <v>28</v>
      </c>
      <c r="C29" s="6">
        <v>0.85</v>
      </c>
      <c r="D29" s="1" t="s">
        <v>17</v>
      </c>
    </row>
    <row r="30" spans="2:4" x14ac:dyDescent="0.2">
      <c r="B30" s="13" t="s">
        <v>14</v>
      </c>
      <c r="C30" s="6">
        <v>1</v>
      </c>
      <c r="D30" s="1" t="s">
        <v>17</v>
      </c>
    </row>
    <row r="31" spans="2:4" ht="10.8" thickBot="1" x14ac:dyDescent="0.25">
      <c r="B31" s="14" t="s">
        <v>9</v>
      </c>
      <c r="C31" s="8">
        <v>0.05</v>
      </c>
      <c r="D31" s="1" t="s">
        <v>17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3:G8"/>
  <sheetViews>
    <sheetView zoomScale="80" zoomScaleNormal="80" workbookViewId="0">
      <selection activeCell="L8" sqref="L8"/>
    </sheetView>
  </sheetViews>
  <sheetFormatPr defaultColWidth="8.77734375" defaultRowHeight="10.199999999999999" x14ac:dyDescent="0.2"/>
  <cols>
    <col min="1" max="3" width="8.77734375" style="1"/>
    <col min="4" max="4" width="15.33203125" style="1" customWidth="1"/>
    <col min="5" max="5" width="15.44140625" style="1" customWidth="1"/>
    <col min="6" max="6" width="16.88671875" style="1" customWidth="1"/>
    <col min="7" max="16384" width="8.77734375" style="1"/>
  </cols>
  <sheetData>
    <row r="3" spans="3:7" s="58" customFormat="1" ht="20.399999999999999" x14ac:dyDescent="0.3">
      <c r="D3" s="59" t="s">
        <v>80</v>
      </c>
      <c r="E3" s="59" t="s">
        <v>81</v>
      </c>
      <c r="F3" s="59" t="s">
        <v>86</v>
      </c>
    </row>
    <row r="4" spans="3:7" x14ac:dyDescent="0.2">
      <c r="C4" s="57" t="s">
        <v>99</v>
      </c>
      <c r="D4" s="31">
        <v>6.5000000000000002E-2</v>
      </c>
      <c r="E4" s="1">
        <v>1200</v>
      </c>
      <c r="F4" s="30">
        <f>D4*E4</f>
        <v>78</v>
      </c>
      <c r="G4" s="1" t="s">
        <v>84</v>
      </c>
    </row>
    <row r="5" spans="3:7" x14ac:dyDescent="0.2">
      <c r="C5" s="57" t="s">
        <v>100</v>
      </c>
      <c r="D5" s="31">
        <v>7.4999999999999997E-2</v>
      </c>
      <c r="E5" s="1">
        <v>1500</v>
      </c>
      <c r="F5" s="30">
        <f>D5*E5</f>
        <v>112.5</v>
      </c>
      <c r="G5" s="1" t="s">
        <v>83</v>
      </c>
    </row>
    <row r="6" spans="3:7" x14ac:dyDescent="0.2">
      <c r="C6" s="57"/>
      <c r="D6" s="31"/>
      <c r="F6" s="30"/>
    </row>
    <row r="7" spans="3:7" ht="30.6" x14ac:dyDescent="0.2">
      <c r="D7" s="21" t="s">
        <v>88</v>
      </c>
      <c r="E7" s="1">
        <f>E5-E4</f>
        <v>300</v>
      </c>
      <c r="F7" s="1" t="s">
        <v>85</v>
      </c>
    </row>
    <row r="8" spans="3:7" ht="20.399999999999999" x14ac:dyDescent="0.2">
      <c r="D8" s="21" t="s">
        <v>89</v>
      </c>
      <c r="E8" s="31">
        <f>(F5-F4)/E7</f>
        <v>0.115</v>
      </c>
      <c r="F8" s="1" t="s">
        <v>87</v>
      </c>
      <c r="G8" s="1" t="s">
        <v>82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graphs</vt:lpstr>
      <vt:lpstr>вопросы</vt:lpstr>
      <vt:lpstr>REPO</vt:lpstr>
      <vt:lpstr>Physical</vt:lpstr>
      <vt:lpstr>Regulatory</vt:lpstr>
      <vt:lpstr>cannibalization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2023-03-13T16:07:10Z</dcterms:modified>
</cp:coreProperties>
</file>