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Teaching/Risk-management in Bank/5. Interest rate risk/for site/"/>
    </mc:Choice>
  </mc:AlternateContent>
  <xr:revisionPtr revIDLastSave="1280" documentId="13_ncr:1_{E1B82B88-164E-4EBC-B323-3783DBFDA495}" xr6:coauthVersionLast="47" xr6:coauthVersionMax="47" xr10:uidLastSave="{58472F97-D364-4343-9C71-37003651250A}"/>
  <bookViews>
    <workbookView xWindow="-108" yWindow="-108" windowWidth="23256" windowHeight="12576" tabRatio="659" activeTab="2" xr2:uid="{00000000-000D-0000-FFFF-FFFF00000000}"/>
  </bookViews>
  <sheets>
    <sheet name="IR gap and ∆NII - detailed calc" sheetId="1" r:id="rId1"/>
    <sheet name="∆NII and ∆EVE - in a nutshell" sheetId="7" r:id="rId2"/>
    <sheet name="interest rate hedge" sheetId="4" r:id="rId3"/>
    <sheet name="annuity example" sheetId="2" r:id="rId4"/>
    <sheet name="for slides" sheetId="5" state="hidden" r:id="rId5"/>
  </sheets>
  <externalReferences>
    <externalReference r:id="rId6"/>
  </externalReferences>
  <definedNames>
    <definedName name="_xlcn.WorksheetConnection_forslidesD45E541" hidden="1">'for slides'!$D$45:$E$54</definedName>
    <definedName name="DividendYield">[1]FV_option_BS!$B$8</definedName>
    <definedName name="ExercisePrice">[1]FV_option_BS!#REF!</definedName>
    <definedName name="RiskFreeRate">[1]FV_option_BS!$B$6</definedName>
    <definedName name="sigma">[1]FV_option_BS!$B$7</definedName>
    <definedName name="SpotPrice">[1]FV_option_BS!$B$4</definedName>
    <definedName name="TimeToMaturity">[1]FV_option_BS!$B$9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for slides!$D$45:$E$5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2" i="5" l="1"/>
  <c r="F182" i="5"/>
  <c r="D342" i="1"/>
  <c r="D223" i="5"/>
  <c r="D226" i="5"/>
  <c r="D227" i="5"/>
  <c r="D228" i="5"/>
  <c r="D229" i="5"/>
  <c r="D230" i="5"/>
  <c r="D231" i="5"/>
  <c r="D232" i="5"/>
  <c r="D233" i="5"/>
  <c r="D225" i="5"/>
  <c r="D220" i="5"/>
  <c r="D219" i="5"/>
  <c r="D218" i="5"/>
  <c r="D217" i="5"/>
  <c r="D216" i="5"/>
  <c r="D215" i="5"/>
  <c r="D214" i="5"/>
  <c r="D213" i="5"/>
  <c r="D212" i="5"/>
  <c r="F129" i="5" l="1"/>
  <c r="E129" i="5"/>
  <c r="D130" i="5"/>
  <c r="D131" i="5" s="1"/>
  <c r="D132" i="5" s="1"/>
  <c r="D133" i="5" s="1"/>
  <c r="D134" i="5" s="1"/>
  <c r="D135" i="5" s="1"/>
  <c r="D136" i="5" s="1"/>
  <c r="D137" i="5" s="1"/>
  <c r="D138" i="5" s="1"/>
  <c r="D139" i="5" s="1"/>
  <c r="C130" i="5"/>
  <c r="C131" i="5" s="1"/>
  <c r="C132" i="5" s="1"/>
  <c r="C133" i="5" s="1"/>
  <c r="C134" i="5" s="1"/>
  <c r="C135" i="5" s="1"/>
  <c r="C136" i="5" s="1"/>
  <c r="C137" i="5" s="1"/>
  <c r="C138" i="5" s="1"/>
  <c r="C139" i="5" s="1"/>
  <c r="E139" i="5" l="1"/>
  <c r="F131" i="5"/>
  <c r="F132" i="5"/>
  <c r="F130" i="5"/>
  <c r="F138" i="5"/>
  <c r="F135" i="5"/>
  <c r="F137" i="5"/>
  <c r="F136" i="5"/>
  <c r="F134" i="5"/>
  <c r="F133" i="5"/>
  <c r="E137" i="5"/>
  <c r="E135" i="5"/>
  <c r="E132" i="5"/>
  <c r="E131" i="5"/>
  <c r="E130" i="5"/>
  <c r="E138" i="5"/>
  <c r="E134" i="5"/>
  <c r="E133" i="5"/>
  <c r="E136" i="5"/>
  <c r="F11" i="7" l="1"/>
  <c r="F99" i="5"/>
  <c r="G99" i="5"/>
  <c r="H99" i="5"/>
  <c r="I99" i="5"/>
  <c r="J99" i="5"/>
  <c r="K99" i="5"/>
  <c r="L99" i="5"/>
  <c r="M99" i="5"/>
  <c r="N99" i="5"/>
  <c r="O99" i="5"/>
  <c r="P99" i="5"/>
  <c r="Q99" i="5"/>
  <c r="E99" i="5"/>
  <c r="E61" i="5" l="1"/>
  <c r="E62" i="5" s="1"/>
  <c r="E63" i="5" s="1"/>
  <c r="E64" i="5" s="1"/>
  <c r="E65" i="5" s="1"/>
  <c r="E66" i="5" s="1"/>
  <c r="E67" i="5" s="1"/>
  <c r="E68" i="5" s="1"/>
  <c r="D61" i="5"/>
  <c r="D62" i="5" s="1"/>
  <c r="D63" i="5" s="1"/>
  <c r="D64" i="5" s="1"/>
  <c r="D65" i="5" s="1"/>
  <c r="D66" i="5" s="1"/>
  <c r="D67" i="5" s="1"/>
  <c r="D68" i="5" s="1"/>
  <c r="M28" i="7" l="1"/>
  <c r="M27" i="7"/>
  <c r="D28" i="7"/>
  <c r="D27" i="7"/>
  <c r="F16" i="7"/>
  <c r="P27" i="7"/>
  <c r="Q27" i="7" s="1"/>
  <c r="P29" i="7"/>
  <c r="Q29" i="7" s="1"/>
  <c r="P30" i="7"/>
  <c r="Q30" i="7" s="1"/>
  <c r="P31" i="7"/>
  <c r="Q31" i="7" s="1"/>
  <c r="P32" i="7"/>
  <c r="Q32" i="7" s="1"/>
  <c r="P33" i="7"/>
  <c r="Q33" i="7" s="1"/>
  <c r="P34" i="7"/>
  <c r="Q34" i="7" s="1"/>
  <c r="P35" i="7"/>
  <c r="Q35" i="7" s="1"/>
  <c r="P36" i="7"/>
  <c r="P37" i="7"/>
  <c r="Q37" i="7" s="1"/>
  <c r="P38" i="7"/>
  <c r="Q38" i="7" s="1"/>
  <c r="P39" i="7"/>
  <c r="Q39" i="7" s="1"/>
  <c r="P40" i="7"/>
  <c r="Q40" i="7" s="1"/>
  <c r="P41" i="7"/>
  <c r="Q41" i="7" s="1"/>
  <c r="P42" i="7"/>
  <c r="Q42" i="7" s="1"/>
  <c r="P43" i="7"/>
  <c r="Q43" i="7" s="1"/>
  <c r="P44" i="7"/>
  <c r="Q44" i="7" s="1"/>
  <c r="P45" i="7"/>
  <c r="Q45" i="7" s="1"/>
  <c r="P46" i="7"/>
  <c r="Q46" i="7" s="1"/>
  <c r="P47" i="7"/>
  <c r="Q47" i="7" s="1"/>
  <c r="P48" i="7"/>
  <c r="Q48" i="7" s="1"/>
  <c r="P49" i="7"/>
  <c r="Q49" i="7" s="1"/>
  <c r="P50" i="7"/>
  <c r="Q50" i="7" s="1"/>
  <c r="P28" i="7"/>
  <c r="Q28" i="7" s="1"/>
  <c r="Q36" i="7"/>
  <c r="S28" i="7" l="1"/>
  <c r="R28" i="7"/>
  <c r="R27" i="7"/>
  <c r="S27" i="7"/>
  <c r="N27" i="7"/>
  <c r="O27" i="7" s="1"/>
  <c r="N28" i="7"/>
  <c r="O28" i="7" s="1"/>
  <c r="N29" i="7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G37" i="7"/>
  <c r="H37" i="7" s="1"/>
  <c r="G38" i="7"/>
  <c r="H38" i="7" s="1"/>
  <c r="G39" i="7"/>
  <c r="H39" i="7" s="1"/>
  <c r="G40" i="7"/>
  <c r="H40" i="7" s="1"/>
  <c r="G41" i="7"/>
  <c r="H41" i="7" s="1"/>
  <c r="G42" i="7"/>
  <c r="H42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27" i="7"/>
  <c r="E27" i="7" s="1"/>
  <c r="C29" i="7"/>
  <c r="U28" i="7" l="1"/>
  <c r="T28" i="7"/>
  <c r="U27" i="7"/>
  <c r="T27" i="7"/>
  <c r="C30" i="7"/>
  <c r="M29" i="7"/>
  <c r="D29" i="7"/>
  <c r="I29" i="7" s="1"/>
  <c r="J28" i="7"/>
  <c r="I28" i="7"/>
  <c r="I27" i="7"/>
  <c r="E28" i="7"/>
  <c r="F28" i="7" s="1"/>
  <c r="H27" i="7"/>
  <c r="J27" i="7" s="1"/>
  <c r="F27" i="7"/>
  <c r="E29" i="7"/>
  <c r="L27" i="7" l="1"/>
  <c r="K27" i="7"/>
  <c r="K28" i="7"/>
  <c r="L28" i="7"/>
  <c r="E30" i="7"/>
  <c r="J29" i="7"/>
  <c r="S29" i="7"/>
  <c r="N30" i="7"/>
  <c r="R29" i="7"/>
  <c r="C31" i="7"/>
  <c r="M30" i="7"/>
  <c r="D30" i="7"/>
  <c r="F29" i="7"/>
  <c r="O29" i="7"/>
  <c r="W28" i="7"/>
  <c r="T29" i="7" l="1"/>
  <c r="U29" i="7"/>
  <c r="K29" i="7"/>
  <c r="L29" i="7"/>
  <c r="I30" i="7"/>
  <c r="J30" i="7"/>
  <c r="O30" i="7"/>
  <c r="C32" i="7"/>
  <c r="M31" i="7"/>
  <c r="N32" i="7" s="1"/>
  <c r="D31" i="7"/>
  <c r="N31" i="7"/>
  <c r="S30" i="7"/>
  <c r="R30" i="7"/>
  <c r="F30" i="7"/>
  <c r="E31" i="7"/>
  <c r="W27" i="7"/>
  <c r="T30" i="7" l="1"/>
  <c r="U30" i="7"/>
  <c r="L30" i="7"/>
  <c r="K30" i="7"/>
  <c r="F31" i="7"/>
  <c r="O31" i="7"/>
  <c r="W29" i="7"/>
  <c r="E32" i="7"/>
  <c r="S31" i="7"/>
  <c r="R31" i="7"/>
  <c r="J31" i="7"/>
  <c r="I31" i="7"/>
  <c r="C33" i="7"/>
  <c r="M32" i="7"/>
  <c r="D32" i="7"/>
  <c r="T31" i="7" l="1"/>
  <c r="U31" i="7"/>
  <c r="K31" i="7"/>
  <c r="L31" i="7"/>
  <c r="W31" i="7" s="1"/>
  <c r="W30" i="7"/>
  <c r="O32" i="7"/>
  <c r="J32" i="7"/>
  <c r="I32" i="7"/>
  <c r="R32" i="7"/>
  <c r="S32" i="7"/>
  <c r="N33" i="7"/>
  <c r="C34" i="7"/>
  <c r="M33" i="7"/>
  <c r="D33" i="7"/>
  <c r="E33" i="7"/>
  <c r="F32" i="7"/>
  <c r="E15" i="5"/>
  <c r="F15" i="5"/>
  <c r="G15" i="5"/>
  <c r="H15" i="5"/>
  <c r="I15" i="5"/>
  <c r="J15" i="5"/>
  <c r="K15" i="5"/>
  <c r="L15" i="5"/>
  <c r="M15" i="5"/>
  <c r="E16" i="5"/>
  <c r="F16" i="5"/>
  <c r="G16" i="5"/>
  <c r="H16" i="5"/>
  <c r="I16" i="5"/>
  <c r="J16" i="5"/>
  <c r="K16" i="5"/>
  <c r="L16" i="5"/>
  <c r="M16" i="5"/>
  <c r="D16" i="5"/>
  <c r="D15" i="5"/>
  <c r="E14" i="5"/>
  <c r="E17" i="5" s="1"/>
  <c r="F14" i="5"/>
  <c r="G14" i="5"/>
  <c r="H14" i="5"/>
  <c r="I14" i="5"/>
  <c r="J14" i="5"/>
  <c r="K14" i="5"/>
  <c r="L14" i="5"/>
  <c r="M14" i="5"/>
  <c r="D14" i="5"/>
  <c r="F33" i="7" l="1"/>
  <c r="T32" i="7"/>
  <c r="U32" i="7"/>
  <c r="L32" i="7"/>
  <c r="K32" i="7"/>
  <c r="L33" i="7"/>
  <c r="K33" i="7"/>
  <c r="I33" i="7"/>
  <c r="J33" i="7"/>
  <c r="S33" i="7"/>
  <c r="R33" i="7"/>
  <c r="E34" i="7"/>
  <c r="C35" i="7"/>
  <c r="D34" i="7"/>
  <c r="M34" i="7"/>
  <c r="N34" i="7"/>
  <c r="O33" i="7"/>
  <c r="F17" i="5"/>
  <c r="G17" i="5" s="1"/>
  <c r="H17" i="5" s="1"/>
  <c r="I17" i="5" s="1"/>
  <c r="J17" i="5" s="1"/>
  <c r="K17" i="5" s="1"/>
  <c r="L17" i="5" s="1"/>
  <c r="M17" i="5" s="1"/>
  <c r="M58" i="4"/>
  <c r="E60" i="4"/>
  <c r="C57" i="4"/>
  <c r="C58" i="4"/>
  <c r="C65" i="4"/>
  <c r="C66" i="4"/>
  <c r="B6" i="4"/>
  <c r="C6" i="4"/>
  <c r="D6" i="4"/>
  <c r="E6" i="4"/>
  <c r="F6" i="4"/>
  <c r="G6" i="4"/>
  <c r="H6" i="4"/>
  <c r="I6" i="4"/>
  <c r="J6" i="4"/>
  <c r="K6" i="4"/>
  <c r="L6" i="4"/>
  <c r="M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C7" i="1"/>
  <c r="C19" i="1"/>
  <c r="M66" i="1"/>
  <c r="D144" i="1" s="1"/>
  <c r="F144" i="1" s="1"/>
  <c r="E214" i="1"/>
  <c r="G214" i="1" s="1"/>
  <c r="E215" i="1"/>
  <c r="G215" i="1" s="1"/>
  <c r="E216" i="1"/>
  <c r="G216" i="1" s="1"/>
  <c r="E217" i="1"/>
  <c r="G217" i="1" s="1"/>
  <c r="E218" i="1"/>
  <c r="G218" i="1" s="1"/>
  <c r="E219" i="1"/>
  <c r="G219" i="1" s="1"/>
  <c r="E220" i="1"/>
  <c r="G220" i="1" s="1"/>
  <c r="E221" i="1"/>
  <c r="G221" i="1" s="1"/>
  <c r="E222" i="1"/>
  <c r="G222" i="1" s="1"/>
  <c r="E223" i="1"/>
  <c r="G223" i="1" s="1"/>
  <c r="E224" i="1"/>
  <c r="G224" i="1" s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F215" i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E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213" i="1"/>
  <c r="F154" i="1"/>
  <c r="E143" i="1"/>
  <c r="E338" i="1" s="1"/>
  <c r="E142" i="1"/>
  <c r="E337" i="1" s="1"/>
  <c r="E141" i="1"/>
  <c r="E336" i="1" s="1"/>
  <c r="E140" i="1"/>
  <c r="E335" i="1" s="1"/>
  <c r="G335" i="1" s="1"/>
  <c r="E138" i="1"/>
  <c r="E137" i="1"/>
  <c r="E153" i="1" s="1"/>
  <c r="G153" i="1" s="1"/>
  <c r="E136" i="1"/>
  <c r="E151" i="1" s="1"/>
  <c r="G151" i="1" s="1"/>
  <c r="F71" i="1"/>
  <c r="F7" i="4" s="1"/>
  <c r="G71" i="1"/>
  <c r="G7" i="4" s="1"/>
  <c r="H71" i="1"/>
  <c r="H7" i="4" s="1"/>
  <c r="I71" i="1"/>
  <c r="I7" i="4" s="1"/>
  <c r="J71" i="1"/>
  <c r="J7" i="4" s="1"/>
  <c r="K71" i="1"/>
  <c r="K7" i="4" s="1"/>
  <c r="L71" i="1"/>
  <c r="L7" i="4" s="1"/>
  <c r="M71" i="1"/>
  <c r="M7" i="4" s="1"/>
  <c r="K72" i="1"/>
  <c r="K8" i="4" s="1"/>
  <c r="L72" i="1"/>
  <c r="L8" i="4" s="1"/>
  <c r="M72" i="1"/>
  <c r="M8" i="4" s="1"/>
  <c r="M73" i="1"/>
  <c r="M9" i="4" s="1"/>
  <c r="F74" i="1"/>
  <c r="F10" i="4" s="1"/>
  <c r="G74" i="1"/>
  <c r="G10" i="4" s="1"/>
  <c r="H74" i="1"/>
  <c r="H10" i="4" s="1"/>
  <c r="I74" i="1"/>
  <c r="I10" i="4" s="1"/>
  <c r="J74" i="1"/>
  <c r="J10" i="4" s="1"/>
  <c r="K74" i="1"/>
  <c r="K10" i="4" s="1"/>
  <c r="L74" i="1"/>
  <c r="L10" i="4" s="1"/>
  <c r="F75" i="1"/>
  <c r="F11" i="4" s="1"/>
  <c r="G75" i="1"/>
  <c r="G11" i="4" s="1"/>
  <c r="H75" i="1"/>
  <c r="H11" i="4" s="1"/>
  <c r="I75" i="1"/>
  <c r="I11" i="4" s="1"/>
  <c r="J75" i="1"/>
  <c r="J11" i="4" s="1"/>
  <c r="K75" i="1"/>
  <c r="K11" i="4" s="1"/>
  <c r="L75" i="1"/>
  <c r="L11" i="4" s="1"/>
  <c r="M75" i="1"/>
  <c r="M11" i="4" s="1"/>
  <c r="F76" i="1"/>
  <c r="F12" i="4" s="1"/>
  <c r="G76" i="1"/>
  <c r="G12" i="4" s="1"/>
  <c r="H76" i="1"/>
  <c r="H12" i="4" s="1"/>
  <c r="I76" i="1"/>
  <c r="I12" i="4" s="1"/>
  <c r="J76" i="1"/>
  <c r="J12" i="4" s="1"/>
  <c r="K76" i="1"/>
  <c r="K12" i="4" s="1"/>
  <c r="L76" i="1"/>
  <c r="L12" i="4" s="1"/>
  <c r="F77" i="1"/>
  <c r="F13" i="4" s="1"/>
  <c r="G77" i="1"/>
  <c r="G13" i="4" s="1"/>
  <c r="H77" i="1"/>
  <c r="H13" i="4" s="1"/>
  <c r="I77" i="1"/>
  <c r="I13" i="4" s="1"/>
  <c r="J77" i="1"/>
  <c r="J13" i="4" s="1"/>
  <c r="K77" i="1"/>
  <c r="K13" i="4" s="1"/>
  <c r="L77" i="1"/>
  <c r="L13" i="4" s="1"/>
  <c r="F78" i="1"/>
  <c r="F14" i="4" s="1"/>
  <c r="G78" i="1"/>
  <c r="G14" i="4" s="1"/>
  <c r="H78" i="1"/>
  <c r="H14" i="4" s="1"/>
  <c r="K78" i="1"/>
  <c r="K14" i="4" s="1"/>
  <c r="L78" i="1"/>
  <c r="L14" i="4" s="1"/>
  <c r="M78" i="1"/>
  <c r="M14" i="4" s="1"/>
  <c r="F79" i="1"/>
  <c r="F15" i="4" s="1"/>
  <c r="G79" i="1"/>
  <c r="G15" i="4" s="1"/>
  <c r="H79" i="1"/>
  <c r="H15" i="4" s="1"/>
  <c r="I79" i="1"/>
  <c r="I15" i="4" s="1"/>
  <c r="J79" i="1"/>
  <c r="J15" i="4" s="1"/>
  <c r="K79" i="1"/>
  <c r="K15" i="4" s="1"/>
  <c r="L79" i="1"/>
  <c r="L15" i="4" s="1"/>
  <c r="E74" i="1"/>
  <c r="E10" i="4" s="1"/>
  <c r="E76" i="1"/>
  <c r="E12" i="4" s="1"/>
  <c r="E77" i="1"/>
  <c r="E13" i="4" s="1"/>
  <c r="E78" i="1"/>
  <c r="E14" i="4" s="1"/>
  <c r="E79" i="1"/>
  <c r="E15" i="4" s="1"/>
  <c r="D78" i="1"/>
  <c r="D14" i="4" s="1"/>
  <c r="D79" i="1"/>
  <c r="D15" i="4" s="1"/>
  <c r="D77" i="1"/>
  <c r="D13" i="4" s="1"/>
  <c r="D76" i="1"/>
  <c r="D12" i="4" s="1"/>
  <c r="D75" i="1"/>
  <c r="D11" i="4" s="1"/>
  <c r="D74" i="1"/>
  <c r="D10" i="4" s="1"/>
  <c r="D71" i="1"/>
  <c r="D7" i="4" s="1"/>
  <c r="J65" i="1"/>
  <c r="O65" i="1" s="1"/>
  <c r="M64" i="1"/>
  <c r="O64" i="1" s="1"/>
  <c r="M63" i="1"/>
  <c r="O63" i="1" s="1"/>
  <c r="E62" i="1"/>
  <c r="O62" i="1" s="1"/>
  <c r="M61" i="1"/>
  <c r="M74" i="1" s="1"/>
  <c r="M10" i="4" s="1"/>
  <c r="L60" i="1"/>
  <c r="L73" i="1" s="1"/>
  <c r="L9" i="4" s="1"/>
  <c r="K60" i="1"/>
  <c r="K73" i="1" s="1"/>
  <c r="K9" i="4" s="1"/>
  <c r="J13" i="2"/>
  <c r="E60" i="1" s="1"/>
  <c r="E73" i="1" s="1"/>
  <c r="E9" i="4" s="1"/>
  <c r="J14" i="2"/>
  <c r="F60" i="1" s="1"/>
  <c r="F73" i="1" s="1"/>
  <c r="F9" i="4" s="1"/>
  <c r="J15" i="2"/>
  <c r="G60" i="1" s="1"/>
  <c r="G73" i="1" s="1"/>
  <c r="G9" i="4" s="1"/>
  <c r="J16" i="2"/>
  <c r="J17" i="2"/>
  <c r="J18" i="2"/>
  <c r="J60" i="1" s="1"/>
  <c r="J73" i="1" s="1"/>
  <c r="J9" i="4" s="1"/>
  <c r="J12" i="2"/>
  <c r="D60" i="1" s="1"/>
  <c r="C7" i="2"/>
  <c r="C8" i="2" s="1"/>
  <c r="E58" i="1"/>
  <c r="O58" i="1" s="1"/>
  <c r="F12" i="2"/>
  <c r="D13" i="2" s="1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T33" i="7" l="1"/>
  <c r="U33" i="7"/>
  <c r="W33" i="7" s="1"/>
  <c r="O34" i="7"/>
  <c r="K19" i="2"/>
  <c r="K58" i="4" s="1"/>
  <c r="K18" i="2"/>
  <c r="J58" i="4" s="1"/>
  <c r="D123" i="1"/>
  <c r="E123" i="1" s="1"/>
  <c r="F123" i="1" s="1"/>
  <c r="G123" i="1" s="1"/>
  <c r="H123" i="1" s="1"/>
  <c r="H125" i="1" s="1"/>
  <c r="K17" i="2"/>
  <c r="I58" i="4" s="1"/>
  <c r="K16" i="2"/>
  <c r="W32" i="7"/>
  <c r="S34" i="7"/>
  <c r="R34" i="7"/>
  <c r="N35" i="7"/>
  <c r="K15" i="2"/>
  <c r="J34" i="7"/>
  <c r="I34" i="7"/>
  <c r="K14" i="2"/>
  <c r="C36" i="7"/>
  <c r="M35" i="7"/>
  <c r="D35" i="7"/>
  <c r="K12" i="2"/>
  <c r="K13" i="2"/>
  <c r="F34" i="7"/>
  <c r="E35" i="7"/>
  <c r="K20" i="2"/>
  <c r="L58" i="4" s="1"/>
  <c r="J325" i="1"/>
  <c r="J317" i="1"/>
  <c r="J309" i="1"/>
  <c r="J301" i="1"/>
  <c r="J293" i="1"/>
  <c r="J285" i="1"/>
  <c r="J277" i="1"/>
  <c r="J269" i="1"/>
  <c r="J261" i="1"/>
  <c r="J253" i="1"/>
  <c r="J245" i="1"/>
  <c r="J237" i="1"/>
  <c r="O66" i="1"/>
  <c r="M79" i="1"/>
  <c r="M15" i="4" s="1"/>
  <c r="F155" i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J229" i="1"/>
  <c r="J326" i="1"/>
  <c r="J318" i="1"/>
  <c r="J310" i="1"/>
  <c r="J302" i="1"/>
  <c r="J294" i="1"/>
  <c r="J286" i="1"/>
  <c r="J278" i="1"/>
  <c r="J270" i="1"/>
  <c r="J262" i="1"/>
  <c r="J254" i="1"/>
  <c r="J246" i="1"/>
  <c r="J238" i="1"/>
  <c r="J230" i="1"/>
  <c r="H214" i="1"/>
  <c r="F58" i="4"/>
  <c r="I78" i="1"/>
  <c r="I14" i="4" s="1"/>
  <c r="D58" i="4"/>
  <c r="D65" i="4" s="1"/>
  <c r="H58" i="4"/>
  <c r="J330" i="1"/>
  <c r="J322" i="1"/>
  <c r="J314" i="1"/>
  <c r="J306" i="1"/>
  <c r="J298" i="1"/>
  <c r="J290" i="1"/>
  <c r="J282" i="1"/>
  <c r="J274" i="1"/>
  <c r="J258" i="1"/>
  <c r="J250" i="1"/>
  <c r="J242" i="1"/>
  <c r="J234" i="1"/>
  <c r="J226" i="1"/>
  <c r="J329" i="1"/>
  <c r="J321" i="1"/>
  <c r="J313" i="1"/>
  <c r="J305" i="1"/>
  <c r="J297" i="1"/>
  <c r="J289" i="1"/>
  <c r="J281" i="1"/>
  <c r="J273" i="1"/>
  <c r="J265" i="1"/>
  <c r="J257" i="1"/>
  <c r="J249" i="1"/>
  <c r="J241" i="1"/>
  <c r="J233" i="1"/>
  <c r="J225" i="1"/>
  <c r="J331" i="1"/>
  <c r="J323" i="1"/>
  <c r="J315" i="1"/>
  <c r="J307" i="1"/>
  <c r="J299" i="1"/>
  <c r="J291" i="1"/>
  <c r="J283" i="1"/>
  <c r="J275" i="1"/>
  <c r="J267" i="1"/>
  <c r="J259" i="1"/>
  <c r="J251" i="1"/>
  <c r="J243" i="1"/>
  <c r="J235" i="1"/>
  <c r="J227" i="1"/>
  <c r="J328" i="1"/>
  <c r="J320" i="1"/>
  <c r="J312" i="1"/>
  <c r="J304" i="1"/>
  <c r="J296" i="1"/>
  <c r="J288" i="1"/>
  <c r="J280" i="1"/>
  <c r="J272" i="1"/>
  <c r="J264" i="1"/>
  <c r="J256" i="1"/>
  <c r="J248" i="1"/>
  <c r="J240" i="1"/>
  <c r="J232" i="1"/>
  <c r="J266" i="1"/>
  <c r="J327" i="1"/>
  <c r="J319" i="1"/>
  <c r="J311" i="1"/>
  <c r="J303" i="1"/>
  <c r="J295" i="1"/>
  <c r="J287" i="1"/>
  <c r="J279" i="1"/>
  <c r="J271" i="1"/>
  <c r="J263" i="1"/>
  <c r="J255" i="1"/>
  <c r="J247" i="1"/>
  <c r="J239" i="1"/>
  <c r="J231" i="1"/>
  <c r="J332" i="1"/>
  <c r="J324" i="1"/>
  <c r="J316" i="1"/>
  <c r="J308" i="1"/>
  <c r="J300" i="1"/>
  <c r="J292" i="1"/>
  <c r="J284" i="1"/>
  <c r="J276" i="1"/>
  <c r="J268" i="1"/>
  <c r="J260" i="1"/>
  <c r="J252" i="1"/>
  <c r="J244" i="1"/>
  <c r="J236" i="1"/>
  <c r="J228" i="1"/>
  <c r="I214" i="1"/>
  <c r="H215" i="1"/>
  <c r="H224" i="1"/>
  <c r="I223" i="1"/>
  <c r="I215" i="1"/>
  <c r="I219" i="1"/>
  <c r="H223" i="1"/>
  <c r="H219" i="1"/>
  <c r="I222" i="1"/>
  <c r="I218" i="1"/>
  <c r="H222" i="1"/>
  <c r="H218" i="1"/>
  <c r="I221" i="1"/>
  <c r="I217" i="1"/>
  <c r="H221" i="1"/>
  <c r="H217" i="1"/>
  <c r="I224" i="1"/>
  <c r="I220" i="1"/>
  <c r="I216" i="1"/>
  <c r="H220" i="1"/>
  <c r="H216" i="1"/>
  <c r="H213" i="1"/>
  <c r="G213" i="1"/>
  <c r="I213" i="1" s="1"/>
  <c r="E183" i="1"/>
  <c r="E206" i="1"/>
  <c r="E211" i="1"/>
  <c r="E179" i="1"/>
  <c r="E171" i="1"/>
  <c r="E210" i="1"/>
  <c r="E191" i="1"/>
  <c r="E202" i="1"/>
  <c r="E195" i="1"/>
  <c r="E209" i="1"/>
  <c r="E205" i="1"/>
  <c r="E201" i="1"/>
  <c r="E175" i="1"/>
  <c r="E187" i="1"/>
  <c r="E208" i="1"/>
  <c r="E204" i="1"/>
  <c r="E200" i="1"/>
  <c r="E167" i="1"/>
  <c r="E207" i="1"/>
  <c r="E203" i="1"/>
  <c r="E199" i="1"/>
  <c r="E198" i="1"/>
  <c r="E194" i="1"/>
  <c r="E190" i="1"/>
  <c r="E186" i="1"/>
  <c r="E182" i="1"/>
  <c r="E178" i="1"/>
  <c r="E174" i="1"/>
  <c r="E170" i="1"/>
  <c r="E166" i="1"/>
  <c r="E197" i="1"/>
  <c r="E193" i="1"/>
  <c r="E189" i="1"/>
  <c r="E185" i="1"/>
  <c r="E181" i="1"/>
  <c r="E177" i="1"/>
  <c r="E173" i="1"/>
  <c r="E169" i="1"/>
  <c r="E165" i="1"/>
  <c r="E196" i="1"/>
  <c r="E192" i="1"/>
  <c r="E188" i="1"/>
  <c r="E184" i="1"/>
  <c r="E180" i="1"/>
  <c r="E176" i="1"/>
  <c r="E172" i="1"/>
  <c r="E168" i="1"/>
  <c r="E164" i="1"/>
  <c r="E159" i="1"/>
  <c r="G159" i="1" s="1"/>
  <c r="E158" i="1"/>
  <c r="G158" i="1" s="1"/>
  <c r="E160" i="1"/>
  <c r="G160" i="1" s="1"/>
  <c r="E152" i="1"/>
  <c r="E156" i="1"/>
  <c r="G156" i="1" s="1"/>
  <c r="E157" i="1"/>
  <c r="G157" i="1" s="1"/>
  <c r="E163" i="1"/>
  <c r="E155" i="1"/>
  <c r="E162" i="1"/>
  <c r="G162" i="1" s="1"/>
  <c r="E154" i="1"/>
  <c r="G154" i="1" s="1"/>
  <c r="E161" i="1"/>
  <c r="G161" i="1" s="1"/>
  <c r="D339" i="1"/>
  <c r="D136" i="1"/>
  <c r="D139" i="1"/>
  <c r="D140" i="1"/>
  <c r="D141" i="1"/>
  <c r="D143" i="1"/>
  <c r="D142" i="1"/>
  <c r="G125" i="1"/>
  <c r="F125" i="1"/>
  <c r="D125" i="1"/>
  <c r="E125" i="1"/>
  <c r="K80" i="1"/>
  <c r="K16" i="4" s="1"/>
  <c r="K59" i="4" s="1"/>
  <c r="K62" i="4" s="1"/>
  <c r="O61" i="1"/>
  <c r="L80" i="1"/>
  <c r="L16" i="4" s="1"/>
  <c r="L59" i="4" s="1"/>
  <c r="L62" i="4" s="1"/>
  <c r="J14" i="4"/>
  <c r="M77" i="1"/>
  <c r="M13" i="4" s="1"/>
  <c r="E71" i="1"/>
  <c r="E7" i="4" s="1"/>
  <c r="M76" i="1"/>
  <c r="M12" i="4" s="1"/>
  <c r="D73" i="1"/>
  <c r="D9" i="4" s="1"/>
  <c r="E75" i="1"/>
  <c r="E11" i="4" s="1"/>
  <c r="H60" i="1"/>
  <c r="H73" i="1" s="1"/>
  <c r="H9" i="4" s="1"/>
  <c r="I60" i="1"/>
  <c r="I73" i="1" s="1"/>
  <c r="I9" i="4" s="1"/>
  <c r="C9" i="2"/>
  <c r="T34" i="7" l="1"/>
  <c r="U34" i="7"/>
  <c r="L34" i="7"/>
  <c r="K34" i="7"/>
  <c r="E58" i="4"/>
  <c r="G58" i="4"/>
  <c r="F35" i="7"/>
  <c r="O35" i="7"/>
  <c r="J35" i="7"/>
  <c r="I35" i="7"/>
  <c r="E36" i="7"/>
  <c r="S35" i="7"/>
  <c r="R35" i="7"/>
  <c r="N36" i="7"/>
  <c r="C37" i="7"/>
  <c r="M36" i="7"/>
  <c r="N37" i="7" s="1"/>
  <c r="D36" i="7"/>
  <c r="E37" i="7" s="1"/>
  <c r="J214" i="1"/>
  <c r="F65" i="4"/>
  <c r="G65" i="4"/>
  <c r="E65" i="4"/>
  <c r="H65" i="4"/>
  <c r="J215" i="1"/>
  <c r="J220" i="1"/>
  <c r="J224" i="1"/>
  <c r="J223" i="1"/>
  <c r="J213" i="1"/>
  <c r="J217" i="1"/>
  <c r="J219" i="1"/>
  <c r="J221" i="1"/>
  <c r="J218" i="1"/>
  <c r="J216" i="1"/>
  <c r="J222" i="1"/>
  <c r="G152" i="1"/>
  <c r="G155" i="1"/>
  <c r="G163" i="1"/>
  <c r="F142" i="1"/>
  <c r="D337" i="1"/>
  <c r="J337" i="1" s="1"/>
  <c r="F140" i="1"/>
  <c r="D335" i="1"/>
  <c r="F136" i="1"/>
  <c r="D151" i="1"/>
  <c r="F143" i="1"/>
  <c r="D338" i="1"/>
  <c r="F141" i="1"/>
  <c r="D336" i="1"/>
  <c r="J336" i="1" s="1"/>
  <c r="F139" i="1"/>
  <c r="D334" i="1"/>
  <c r="D138" i="1"/>
  <c r="M80" i="1"/>
  <c r="M16" i="4" s="1"/>
  <c r="M59" i="4" s="1"/>
  <c r="M62" i="4" s="1"/>
  <c r="O60" i="1"/>
  <c r="C22" i="2"/>
  <c r="C51" i="2"/>
  <c r="C59" i="2"/>
  <c r="C67" i="2"/>
  <c r="C52" i="2"/>
  <c r="C60" i="2"/>
  <c r="C68" i="2"/>
  <c r="C53" i="2"/>
  <c r="C61" i="2"/>
  <c r="C69" i="2"/>
  <c r="C54" i="2"/>
  <c r="C62" i="2"/>
  <c r="C70" i="2"/>
  <c r="C49" i="2"/>
  <c r="C55" i="2"/>
  <c r="C63" i="2"/>
  <c r="C71" i="2"/>
  <c r="C57" i="2"/>
  <c r="C65" i="2"/>
  <c r="C58" i="2"/>
  <c r="C56" i="2"/>
  <c r="C64" i="2"/>
  <c r="C72" i="2"/>
  <c r="C50" i="2"/>
  <c r="C66" i="2"/>
  <c r="C14" i="2"/>
  <c r="C37" i="2"/>
  <c r="C29" i="2"/>
  <c r="C44" i="2"/>
  <c r="C32" i="2"/>
  <c r="C24" i="2"/>
  <c r="C23" i="2"/>
  <c r="C34" i="2"/>
  <c r="C41" i="2"/>
  <c r="C20" i="2"/>
  <c r="C33" i="2"/>
  <c r="C28" i="2"/>
  <c r="C42" i="2"/>
  <c r="C43" i="2"/>
  <c r="C36" i="2"/>
  <c r="C17" i="2"/>
  <c r="C47" i="2"/>
  <c r="C38" i="2"/>
  <c r="C27" i="2"/>
  <c r="C26" i="2"/>
  <c r="C48" i="2"/>
  <c r="C39" i="2"/>
  <c r="C30" i="2"/>
  <c r="C13" i="2"/>
  <c r="C15" i="2"/>
  <c r="C21" i="2"/>
  <c r="C16" i="2"/>
  <c r="C19" i="2"/>
  <c r="C35" i="2"/>
  <c r="C25" i="2"/>
  <c r="C46" i="2"/>
  <c r="C45" i="2"/>
  <c r="C18" i="2"/>
  <c r="C40" i="2"/>
  <c r="C31" i="2"/>
  <c r="T35" i="7" l="1"/>
  <c r="U35" i="7"/>
  <c r="K35" i="7"/>
  <c r="L35" i="7"/>
  <c r="W35" i="7" s="1"/>
  <c r="O36" i="7"/>
  <c r="W34" i="7"/>
  <c r="I36" i="7"/>
  <c r="J36" i="7"/>
  <c r="S36" i="7"/>
  <c r="R36" i="7"/>
  <c r="F36" i="7"/>
  <c r="C38" i="7"/>
  <c r="M37" i="7"/>
  <c r="D37" i="7"/>
  <c r="J338" i="1"/>
  <c r="J333" i="1"/>
  <c r="I335" i="1"/>
  <c r="H335" i="1"/>
  <c r="I151" i="1"/>
  <c r="H151" i="1"/>
  <c r="F138" i="1"/>
  <c r="E13" i="2"/>
  <c r="D152" i="1" s="1"/>
  <c r="T36" i="7" l="1"/>
  <c r="U36" i="7"/>
  <c r="L36" i="7"/>
  <c r="K36" i="7"/>
  <c r="I37" i="7"/>
  <c r="J37" i="7"/>
  <c r="E38" i="7"/>
  <c r="S37" i="7"/>
  <c r="R37" i="7"/>
  <c r="N38" i="7"/>
  <c r="C39" i="7"/>
  <c r="M38" i="7"/>
  <c r="D38" i="7"/>
  <c r="O37" i="7"/>
  <c r="F37" i="7"/>
  <c r="H152" i="1"/>
  <c r="I152" i="1"/>
  <c r="J151" i="1"/>
  <c r="J335" i="1"/>
  <c r="J334" i="1"/>
  <c r="F13" i="2"/>
  <c r="D14" i="2" s="1"/>
  <c r="I12" i="2"/>
  <c r="D59" i="1" s="1"/>
  <c r="T37" i="7" l="1"/>
  <c r="U37" i="7"/>
  <c r="K37" i="7"/>
  <c r="L37" i="7"/>
  <c r="W36" i="7"/>
  <c r="F38" i="7"/>
  <c r="O38" i="7"/>
  <c r="I38" i="7"/>
  <c r="J38" i="7"/>
  <c r="E39" i="7"/>
  <c r="C40" i="7"/>
  <c r="M39" i="7"/>
  <c r="D39" i="7"/>
  <c r="J152" i="1"/>
  <c r="R38" i="7"/>
  <c r="S38" i="7"/>
  <c r="N39" i="7"/>
  <c r="D72" i="1"/>
  <c r="D8" i="4" s="1"/>
  <c r="E14" i="2"/>
  <c r="D153" i="1" s="1"/>
  <c r="U38" i="7" l="1"/>
  <c r="T38" i="7"/>
  <c r="L38" i="7"/>
  <c r="K38" i="7"/>
  <c r="W38" i="7"/>
  <c r="I39" i="7"/>
  <c r="E40" i="7"/>
  <c r="W37" i="7"/>
  <c r="R39" i="7"/>
  <c r="N40" i="7"/>
  <c r="C41" i="7"/>
  <c r="M40" i="7"/>
  <c r="D40" i="7"/>
  <c r="O39" i="7"/>
  <c r="F39" i="7"/>
  <c r="I153" i="1"/>
  <c r="H153" i="1"/>
  <c r="D80" i="1"/>
  <c r="F14" i="2"/>
  <c r="D15" i="2" s="1"/>
  <c r="T39" i="7" l="1"/>
  <c r="U39" i="7"/>
  <c r="K39" i="7"/>
  <c r="L39" i="7"/>
  <c r="F40" i="7"/>
  <c r="O40" i="7"/>
  <c r="R40" i="7"/>
  <c r="N41" i="7"/>
  <c r="C42" i="7"/>
  <c r="M41" i="7"/>
  <c r="D41" i="7"/>
  <c r="I40" i="7"/>
  <c r="E41" i="7"/>
  <c r="D124" i="1"/>
  <c r="D16" i="4"/>
  <c r="D59" i="4" s="1"/>
  <c r="J153" i="1"/>
  <c r="D81" i="1"/>
  <c r="D17" i="4" s="1"/>
  <c r="E15" i="2"/>
  <c r="D154" i="1" s="1"/>
  <c r="U40" i="7" l="1"/>
  <c r="T40" i="7"/>
  <c r="K40" i="7"/>
  <c r="L40" i="7"/>
  <c r="F41" i="7"/>
  <c r="R41" i="7"/>
  <c r="N42" i="7"/>
  <c r="O42" i="7" s="1"/>
  <c r="O41" i="7"/>
  <c r="W39" i="7"/>
  <c r="I41" i="7"/>
  <c r="E42" i="7"/>
  <c r="C43" i="7"/>
  <c r="D42" i="7"/>
  <c r="M42" i="7"/>
  <c r="D62" i="4"/>
  <c r="D126" i="1"/>
  <c r="I154" i="1"/>
  <c r="H154" i="1"/>
  <c r="F15" i="2"/>
  <c r="D16" i="2" s="1"/>
  <c r="E16" i="2" s="1"/>
  <c r="D155" i="1" s="1"/>
  <c r="I13" i="2"/>
  <c r="E59" i="1" s="1"/>
  <c r="T41" i="7" l="1"/>
  <c r="U41" i="7"/>
  <c r="U42" i="7"/>
  <c r="T42" i="7"/>
  <c r="L41" i="7"/>
  <c r="K41" i="7"/>
  <c r="W40" i="7"/>
  <c r="F42" i="7"/>
  <c r="I42" i="7"/>
  <c r="E43" i="7"/>
  <c r="C44" i="7"/>
  <c r="M43" i="7"/>
  <c r="D43" i="7"/>
  <c r="R42" i="7"/>
  <c r="N43" i="7"/>
  <c r="O43" i="7" s="1"/>
  <c r="D66" i="4"/>
  <c r="D63" i="4"/>
  <c r="J154" i="1"/>
  <c r="H155" i="1"/>
  <c r="I155" i="1"/>
  <c r="E72" i="1"/>
  <c r="E8" i="4" s="1"/>
  <c r="F16" i="2"/>
  <c r="W41" i="7" l="1"/>
  <c r="T43" i="7"/>
  <c r="U43" i="7"/>
  <c r="L42" i="7"/>
  <c r="K42" i="7"/>
  <c r="F43" i="7"/>
  <c r="C45" i="7"/>
  <c r="M44" i="7"/>
  <c r="D44" i="7"/>
  <c r="I43" i="7"/>
  <c r="E44" i="7"/>
  <c r="R43" i="7"/>
  <c r="N44" i="7"/>
  <c r="J155" i="1"/>
  <c r="E80" i="1"/>
  <c r="D17" i="2"/>
  <c r="E17" i="2" s="1"/>
  <c r="O44" i="7" l="1"/>
  <c r="T44" i="7" s="1"/>
  <c r="W42" i="7"/>
  <c r="K43" i="7"/>
  <c r="L43" i="7"/>
  <c r="W43" i="7" s="1"/>
  <c r="R44" i="7"/>
  <c r="N45" i="7"/>
  <c r="O45" i="7" s="1"/>
  <c r="I44" i="7"/>
  <c r="E45" i="7"/>
  <c r="F44" i="7"/>
  <c r="C46" i="7"/>
  <c r="M45" i="7"/>
  <c r="D45" i="7"/>
  <c r="E124" i="1"/>
  <c r="E16" i="4"/>
  <c r="E59" i="4" s="1"/>
  <c r="F17" i="2"/>
  <c r="D18" i="2" s="1"/>
  <c r="E18" i="2" s="1"/>
  <c r="I14" i="2" s="1"/>
  <c r="F59" i="1" s="1"/>
  <c r="D156" i="1"/>
  <c r="E81" i="1"/>
  <c r="E17" i="4" s="1"/>
  <c r="U44" i="7" l="1"/>
  <c r="T45" i="7"/>
  <c r="U45" i="7"/>
  <c r="L44" i="7"/>
  <c r="K44" i="7"/>
  <c r="F45" i="7"/>
  <c r="I45" i="7"/>
  <c r="E46" i="7"/>
  <c r="R45" i="7"/>
  <c r="N46" i="7"/>
  <c r="C47" i="7"/>
  <c r="M46" i="7"/>
  <c r="D46" i="7"/>
  <c r="E126" i="1"/>
  <c r="E62" i="4"/>
  <c r="I156" i="1"/>
  <c r="H156" i="1"/>
  <c r="F18" i="2"/>
  <c r="D19" i="2" s="1"/>
  <c r="E19" i="2" s="1"/>
  <c r="D158" i="1" s="1"/>
  <c r="D157" i="1"/>
  <c r="F72" i="1"/>
  <c r="F8" i="4" s="1"/>
  <c r="F46" i="7" l="1"/>
  <c r="L46" i="7" s="1"/>
  <c r="K46" i="7"/>
  <c r="K45" i="7"/>
  <c r="L45" i="7"/>
  <c r="W44" i="7"/>
  <c r="R46" i="7"/>
  <c r="N47" i="7"/>
  <c r="O47" i="7" s="1"/>
  <c r="I46" i="7"/>
  <c r="E47" i="7"/>
  <c r="C48" i="7"/>
  <c r="M47" i="7"/>
  <c r="D47" i="7"/>
  <c r="O46" i="7"/>
  <c r="E66" i="4"/>
  <c r="E63" i="4"/>
  <c r="I158" i="1"/>
  <c r="H158" i="1"/>
  <c r="J156" i="1"/>
  <c r="I157" i="1"/>
  <c r="H157" i="1"/>
  <c r="F80" i="1"/>
  <c r="F19" i="2"/>
  <c r="D20" i="2" s="1"/>
  <c r="E20" i="2" s="1"/>
  <c r="W45" i="7" l="1"/>
  <c r="T47" i="7"/>
  <c r="U47" i="7"/>
  <c r="U46" i="7"/>
  <c r="W46" i="7" s="1"/>
  <c r="T46" i="7"/>
  <c r="F47" i="7"/>
  <c r="C49" i="7"/>
  <c r="M48" i="7"/>
  <c r="D48" i="7"/>
  <c r="I47" i="7"/>
  <c r="E48" i="7"/>
  <c r="R47" i="7"/>
  <c r="N48" i="7"/>
  <c r="F124" i="1"/>
  <c r="F16" i="4"/>
  <c r="F59" i="4" s="1"/>
  <c r="J157" i="1"/>
  <c r="J158" i="1"/>
  <c r="F20" i="2"/>
  <c r="D21" i="2" s="1"/>
  <c r="D159" i="1"/>
  <c r="F81" i="1"/>
  <c r="F17" i="4" s="1"/>
  <c r="O48" i="7" l="1"/>
  <c r="K47" i="7"/>
  <c r="L47" i="7"/>
  <c r="F48" i="7"/>
  <c r="R48" i="7"/>
  <c r="N49" i="7"/>
  <c r="I48" i="7"/>
  <c r="E49" i="7"/>
  <c r="C50" i="7"/>
  <c r="M49" i="7"/>
  <c r="D49" i="7"/>
  <c r="F126" i="1"/>
  <c r="F62" i="4"/>
  <c r="I159" i="1"/>
  <c r="H159" i="1"/>
  <c r="E21" i="2"/>
  <c r="D160" i="1" s="1"/>
  <c r="U48" i="7" l="1"/>
  <c r="T48" i="7"/>
  <c r="O49" i="7"/>
  <c r="W47" i="7"/>
  <c r="K48" i="7"/>
  <c r="L48" i="7"/>
  <c r="F49" i="7"/>
  <c r="M50" i="7"/>
  <c r="R50" i="7" s="1"/>
  <c r="D50" i="7"/>
  <c r="I50" i="7" s="1"/>
  <c r="I49" i="7"/>
  <c r="E50" i="7"/>
  <c r="R49" i="7"/>
  <c r="N50" i="7"/>
  <c r="F66" i="4"/>
  <c r="F63" i="4"/>
  <c r="J159" i="1"/>
  <c r="I160" i="1"/>
  <c r="H160" i="1"/>
  <c r="F21" i="2"/>
  <c r="I15" i="2"/>
  <c r="G59" i="1" s="1"/>
  <c r="D22" i="2"/>
  <c r="E22" i="2" s="1"/>
  <c r="D161" i="1" s="1"/>
  <c r="T49" i="7" l="1"/>
  <c r="U49" i="7"/>
  <c r="O50" i="7"/>
  <c r="K49" i="7"/>
  <c r="L49" i="7"/>
  <c r="F50" i="7"/>
  <c r="W48" i="7"/>
  <c r="D20" i="7"/>
  <c r="J160" i="1"/>
  <c r="I161" i="1"/>
  <c r="H161" i="1"/>
  <c r="G72" i="1"/>
  <c r="G8" i="4" s="1"/>
  <c r="F22" i="2"/>
  <c r="D23" i="2"/>
  <c r="E23" i="2" s="1"/>
  <c r="W49" i="7" l="1"/>
  <c r="T50" i="7"/>
  <c r="U50" i="7"/>
  <c r="L50" i="7"/>
  <c r="W50" i="7" s="1"/>
  <c r="D21" i="7" s="1"/>
  <c r="K50" i="7"/>
  <c r="J161" i="1"/>
  <c r="F23" i="2"/>
  <c r="D162" i="1"/>
  <c r="G80" i="1"/>
  <c r="D24" i="2"/>
  <c r="G124" i="1" l="1"/>
  <c r="G16" i="4"/>
  <c r="G59" i="4" s="1"/>
  <c r="H162" i="1"/>
  <c r="I162" i="1"/>
  <c r="G81" i="1"/>
  <c r="G17" i="4" s="1"/>
  <c r="E24" i="2"/>
  <c r="D163" i="1" s="1"/>
  <c r="G126" i="1" l="1"/>
  <c r="G62" i="4"/>
  <c r="J162" i="1"/>
  <c r="H163" i="1"/>
  <c r="I163" i="1"/>
  <c r="F24" i="2"/>
  <c r="I16" i="2"/>
  <c r="H59" i="1" s="1"/>
  <c r="D25" i="2"/>
  <c r="E25" i="2" s="1"/>
  <c r="D164" i="1" s="1"/>
  <c r="J164" i="1" l="1"/>
  <c r="G66" i="4"/>
  <c r="G63" i="4"/>
  <c r="J163" i="1"/>
  <c r="H72" i="1"/>
  <c r="H8" i="4" s="1"/>
  <c r="F25" i="2"/>
  <c r="D26" i="2"/>
  <c r="E26" i="2" s="1"/>
  <c r="F26" i="2" l="1"/>
  <c r="D165" i="1"/>
  <c r="H80" i="1"/>
  <c r="D27" i="2"/>
  <c r="E27" i="2" s="1"/>
  <c r="D166" i="1" s="1"/>
  <c r="J166" i="1" l="1"/>
  <c r="J165" i="1"/>
  <c r="H124" i="1"/>
  <c r="H16" i="4"/>
  <c r="H59" i="4" s="1"/>
  <c r="H81" i="1"/>
  <c r="H17" i="4" s="1"/>
  <c r="F27" i="2"/>
  <c r="D28" i="2"/>
  <c r="E28" i="2" s="1"/>
  <c r="H126" i="1" l="1"/>
  <c r="D128" i="1" s="1"/>
  <c r="D344" i="1" s="1"/>
  <c r="H62" i="4"/>
  <c r="F28" i="2"/>
  <c r="D167" i="1"/>
  <c r="D29" i="2"/>
  <c r="E29" i="2" s="1"/>
  <c r="D168" i="1" s="1"/>
  <c r="J168" i="1" l="1"/>
  <c r="J167" i="1"/>
  <c r="H66" i="4"/>
  <c r="D68" i="4" s="1"/>
  <c r="H63" i="4"/>
  <c r="F29" i="2"/>
  <c r="D30" i="2"/>
  <c r="E30" i="2" s="1"/>
  <c r="F30" i="2" l="1"/>
  <c r="D169" i="1"/>
  <c r="D31" i="2"/>
  <c r="E31" i="2" s="1"/>
  <c r="D170" i="1" s="1"/>
  <c r="J170" i="1" l="1"/>
  <c r="J169" i="1"/>
  <c r="F31" i="2"/>
  <c r="D32" i="2"/>
  <c r="E32" i="2" s="1"/>
  <c r="F32" i="2" l="1"/>
  <c r="D171" i="1"/>
  <c r="D33" i="2"/>
  <c r="E33" i="2" s="1"/>
  <c r="J171" i="1" l="1"/>
  <c r="F33" i="2"/>
  <c r="D172" i="1"/>
  <c r="D34" i="2"/>
  <c r="E34" i="2" s="1"/>
  <c r="J172" i="1" l="1"/>
  <c r="F34" i="2"/>
  <c r="D173" i="1"/>
  <c r="D35" i="2"/>
  <c r="E35" i="2" s="1"/>
  <c r="J173" i="1" l="1"/>
  <c r="F35" i="2"/>
  <c r="D174" i="1"/>
  <c r="D36" i="2"/>
  <c r="E36" i="2" s="1"/>
  <c r="J174" i="1" l="1"/>
  <c r="F36" i="2"/>
  <c r="D175" i="1"/>
  <c r="D37" i="2"/>
  <c r="E37" i="2" s="1"/>
  <c r="J175" i="1" l="1"/>
  <c r="F37" i="2"/>
  <c r="D38" i="2" s="1"/>
  <c r="E38" i="2" s="1"/>
  <c r="D176" i="1"/>
  <c r="J176" i="1" l="1"/>
  <c r="F38" i="2"/>
  <c r="D177" i="1"/>
  <c r="D39" i="2"/>
  <c r="E39" i="2" s="1"/>
  <c r="J177" i="1" l="1"/>
  <c r="F39" i="2"/>
  <c r="D178" i="1"/>
  <c r="D40" i="2"/>
  <c r="E40" i="2" s="1"/>
  <c r="J178" i="1" l="1"/>
  <c r="F40" i="2"/>
  <c r="D179" i="1"/>
  <c r="D41" i="2"/>
  <c r="E41" i="2" s="1"/>
  <c r="J179" i="1" l="1"/>
  <c r="F41" i="2"/>
  <c r="D180" i="1"/>
  <c r="D42" i="2"/>
  <c r="E42" i="2" s="1"/>
  <c r="J180" i="1" l="1"/>
  <c r="F42" i="2"/>
  <c r="D181" i="1"/>
  <c r="D43" i="2"/>
  <c r="E43" i="2" s="1"/>
  <c r="J181" i="1" l="1"/>
  <c r="F43" i="2"/>
  <c r="D182" i="1"/>
  <c r="D44" i="2"/>
  <c r="E44" i="2" s="1"/>
  <c r="J182" i="1" l="1"/>
  <c r="F44" i="2"/>
  <c r="D183" i="1"/>
  <c r="D45" i="2"/>
  <c r="E45" i="2" s="1"/>
  <c r="J183" i="1" l="1"/>
  <c r="F45" i="2"/>
  <c r="D184" i="1"/>
  <c r="D46" i="2"/>
  <c r="E46" i="2" s="1"/>
  <c r="J184" i="1" l="1"/>
  <c r="F46" i="2"/>
  <c r="D47" i="2" s="1"/>
  <c r="E47" i="2" s="1"/>
  <c r="D185" i="1"/>
  <c r="J185" i="1" l="1"/>
  <c r="F47" i="2"/>
  <c r="D186" i="1"/>
  <c r="D48" i="2"/>
  <c r="E48" i="2" s="1"/>
  <c r="J186" i="1" l="1"/>
  <c r="F48" i="2"/>
  <c r="D187" i="1"/>
  <c r="D49" i="2"/>
  <c r="E49" i="2" s="1"/>
  <c r="D188" i="1" s="1"/>
  <c r="J188" i="1" l="1"/>
  <c r="J187" i="1"/>
  <c r="F49" i="2"/>
  <c r="D50" i="2"/>
  <c r="E50" i="2" l="1"/>
  <c r="D189" i="1" s="1"/>
  <c r="J189" i="1" l="1"/>
  <c r="F50" i="2"/>
  <c r="D51" i="2"/>
  <c r="E51" i="2" s="1"/>
  <c r="F51" i="2" l="1"/>
  <c r="D190" i="1"/>
  <c r="D52" i="2"/>
  <c r="E52" i="2" s="1"/>
  <c r="D191" i="1" s="1"/>
  <c r="J191" i="1" l="1"/>
  <c r="J190" i="1"/>
  <c r="F52" i="2"/>
  <c r="D53" i="2" s="1"/>
  <c r="E53" i="2" s="1"/>
  <c r="D192" i="1" s="1"/>
  <c r="J192" i="1" l="1"/>
  <c r="F53" i="2"/>
  <c r="D54" i="2"/>
  <c r="E54" i="2" l="1"/>
  <c r="F54" i="2" l="1"/>
  <c r="D55" i="2" s="1"/>
  <c r="E55" i="2" s="1"/>
  <c r="D193" i="1"/>
  <c r="J193" i="1" l="1"/>
  <c r="F55" i="2"/>
  <c r="D194" i="1"/>
  <c r="D56" i="2"/>
  <c r="J194" i="1" l="1"/>
  <c r="E56" i="2"/>
  <c r="F56" i="2" l="1"/>
  <c r="D195" i="1"/>
  <c r="D57" i="2"/>
  <c r="J195" i="1" l="1"/>
  <c r="E57" i="2"/>
  <c r="F57" i="2" l="1"/>
  <c r="D196" i="1"/>
  <c r="D58" i="2"/>
  <c r="J196" i="1" l="1"/>
  <c r="E58" i="2"/>
  <c r="F58" i="2" l="1"/>
  <c r="D59" i="2" s="1"/>
  <c r="D197" i="1"/>
  <c r="E59" i="2"/>
  <c r="D198" i="1" s="1"/>
  <c r="J198" i="1" l="1"/>
  <c r="J197" i="1"/>
  <c r="F59" i="2"/>
  <c r="D60" i="2" s="1"/>
  <c r="E60" i="2" l="1"/>
  <c r="F60" i="2" l="1"/>
  <c r="D199" i="1"/>
  <c r="D61" i="2"/>
  <c r="E61" i="2" s="1"/>
  <c r="J199" i="1" l="1"/>
  <c r="F61" i="2"/>
  <c r="D200" i="1"/>
  <c r="D62" i="2"/>
  <c r="E62" i="2" s="1"/>
  <c r="J200" i="1" l="1"/>
  <c r="F62" i="2"/>
  <c r="D201" i="1"/>
  <c r="D63" i="2"/>
  <c r="E63" i="2" s="1"/>
  <c r="J201" i="1" l="1"/>
  <c r="F63" i="2"/>
  <c r="D202" i="1"/>
  <c r="D64" i="2"/>
  <c r="E64" i="2" s="1"/>
  <c r="J202" i="1" l="1"/>
  <c r="F64" i="2"/>
  <c r="D203" i="1"/>
  <c r="D65" i="2"/>
  <c r="J203" i="1" l="1"/>
  <c r="E65" i="2"/>
  <c r="F65" i="2" l="1"/>
  <c r="D204" i="1"/>
  <c r="D66" i="2"/>
  <c r="E66" i="2" s="1"/>
  <c r="J204" i="1" l="1"/>
  <c r="F66" i="2"/>
  <c r="D205" i="1"/>
  <c r="D67" i="2"/>
  <c r="E67" i="2" s="1"/>
  <c r="J205" i="1" l="1"/>
  <c r="F67" i="2"/>
  <c r="D206" i="1"/>
  <c r="D68" i="2"/>
  <c r="E68" i="2" s="1"/>
  <c r="J206" i="1" l="1"/>
  <c r="F68" i="2"/>
  <c r="D207" i="1"/>
  <c r="D69" i="2"/>
  <c r="E69" i="2" s="1"/>
  <c r="J207" i="1" l="1"/>
  <c r="F69" i="2"/>
  <c r="D70" i="2" s="1"/>
  <c r="E70" i="2" s="1"/>
  <c r="D208" i="1"/>
  <c r="J208" i="1" l="1"/>
  <c r="F70" i="2"/>
  <c r="D71" i="2" s="1"/>
  <c r="E71" i="2" s="1"/>
  <c r="D209" i="1"/>
  <c r="J209" i="1" l="1"/>
  <c r="F71" i="2"/>
  <c r="D210" i="1"/>
  <c r="D72" i="2"/>
  <c r="J210" i="1" l="1"/>
  <c r="E72" i="2"/>
  <c r="D211" i="1" s="1"/>
  <c r="J211" i="1" l="1"/>
  <c r="J212" i="1" s="1"/>
  <c r="J340" i="1" s="1"/>
  <c r="F72" i="2"/>
  <c r="I17" i="2"/>
  <c r="I59" i="1" s="1"/>
  <c r="I72" i="1" s="1"/>
  <c r="I8" i="4" s="1"/>
  <c r="I18" i="2"/>
  <c r="J59" i="1" s="1"/>
  <c r="D137" i="1" l="1"/>
  <c r="F137" i="1" s="1"/>
  <c r="F145" i="1" s="1"/>
  <c r="D346" i="1" s="1"/>
  <c r="I80" i="1"/>
  <c r="O59" i="1"/>
  <c r="J72" i="1"/>
  <c r="J8" i="4" s="1"/>
  <c r="D146" i="1" l="1"/>
  <c r="I81" i="1"/>
  <c r="I17" i="4" s="1"/>
  <c r="I16" i="4"/>
  <c r="I59" i="4" s="1"/>
  <c r="I62" i="4" s="1"/>
  <c r="I63" i="4" s="1"/>
  <c r="J80" i="1"/>
  <c r="J16" i="4" s="1"/>
  <c r="J59" i="4" s="1"/>
  <c r="J62" i="4" s="1"/>
  <c r="K81" i="1"/>
  <c r="K17" i="4" s="1"/>
  <c r="L81" i="1" l="1"/>
  <c r="L17" i="4" s="1"/>
  <c r="L63" i="4"/>
  <c r="J63" i="4"/>
  <c r="M63" i="4"/>
  <c r="K63" i="4"/>
  <c r="J81" i="1"/>
  <c r="J17" i="4" s="1"/>
  <c r="M81" i="1"/>
  <c r="M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tc={090C7557-8FB2-45D8-9B71-CBE2BD8AAD81}</author>
  </authors>
  <commentList>
    <comment ref="P338" authorId="0" shapeId="0" xr:uid="{090C7557-8FB2-45D8-9B71-CBE2BD8AAD81}">
      <text>
        <t>[Threaded comment]
Your version of Excel allows you to read this threaded comment; however, any edits to it will get removed if the file is opened in a newer version of Excel. Learn more: https://go.microsoft.com/fwlink/?linkid=870924
Comment:
    zero coupon bond repaid after 2 years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42E692-1E0E-4E27-B0C0-27FE83EC982F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1906591-0041-431F-8B5E-29D7E2994D47}" name="WorksheetConnection_for slides!$D$45:$E$54" type="102" refreshedVersion="8" minRefreshableVersion="5">
    <extLst>
      <ext xmlns:x15="http://schemas.microsoft.com/office/spreadsheetml/2010/11/main" uri="{DE250136-89BD-433C-8126-D09CA5730AF9}">
        <x15:connection id="Range">
          <x15:rangePr sourceName="_xlcn.WorksheetConnection_forslidesD45E541"/>
        </x15:connection>
      </ext>
    </extLst>
  </connection>
</connections>
</file>

<file path=xl/sharedStrings.xml><?xml version="1.0" encoding="utf-8"?>
<sst xmlns="http://schemas.openxmlformats.org/spreadsheetml/2006/main" count="506" uniqueCount="213">
  <si>
    <t>up to 1m</t>
  </si>
  <si>
    <t>1-3 years</t>
  </si>
  <si>
    <t>3-5 years</t>
  </si>
  <si>
    <t>5-7 years</t>
  </si>
  <si>
    <t>7-10 years</t>
  </si>
  <si>
    <t>1-3 mon</t>
  </si>
  <si>
    <t>3-6 mon</t>
  </si>
  <si>
    <t>6-9 mon</t>
  </si>
  <si>
    <t>9-12 mon</t>
  </si>
  <si>
    <t>up from 10 years</t>
  </si>
  <si>
    <t>Position</t>
  </si>
  <si>
    <t>№</t>
  </si>
  <si>
    <t>Loan to legal entity</t>
  </si>
  <si>
    <t>Mosprime 3m</t>
  </si>
  <si>
    <t>Mosprime 3M +1%</t>
  </si>
  <si>
    <t>interest rate</t>
  </si>
  <si>
    <t>month, frequency of update of interest rate</t>
  </si>
  <si>
    <t>Current date</t>
  </si>
  <si>
    <t>last update of interest rate</t>
  </si>
  <si>
    <t>Mortgage loan to individuals</t>
  </si>
  <si>
    <t>years to maturity</t>
  </si>
  <si>
    <t>eposure</t>
  </si>
  <si>
    <t>Maturity</t>
  </si>
  <si>
    <t>years</t>
  </si>
  <si>
    <t>Payments</t>
  </si>
  <si>
    <t>per year</t>
  </si>
  <si>
    <t>Principal</t>
  </si>
  <si>
    <t>Interest</t>
  </si>
  <si>
    <t>Annuity payment</t>
  </si>
  <si>
    <t>Annuity coefficient</t>
  </si>
  <si>
    <t>origination date</t>
  </si>
  <si>
    <t>interest rate for calc</t>
  </si>
  <si>
    <t>annuity payments each year</t>
  </si>
  <si>
    <t>Deposit to legal entity</t>
  </si>
  <si>
    <t>Investments in associates</t>
  </si>
  <si>
    <t>month to maturity</t>
  </si>
  <si>
    <t>Current accounts of legal entities without irreducable balance</t>
  </si>
  <si>
    <t>n/a</t>
  </si>
  <si>
    <t>Current accounts of individuals</t>
  </si>
  <si>
    <t>Debt securities issued</t>
  </si>
  <si>
    <t xml:space="preserve"> </t>
  </si>
  <si>
    <t>Principal paid monthly, by equal amount</t>
  </si>
  <si>
    <t>Equity</t>
  </si>
  <si>
    <t>Comments</t>
  </si>
  <si>
    <t>Interest rate would be reastimated in 2 month</t>
  </si>
  <si>
    <t>Principal repayment</t>
  </si>
  <si>
    <t>Allocate base of interest accruals (principal) across tenors</t>
  </si>
  <si>
    <t>check</t>
  </si>
  <si>
    <t>not sensitive to interest risk</t>
  </si>
  <si>
    <t>fixed rate, we pick tenor of repayments of principal</t>
  </si>
  <si>
    <t>step 1</t>
  </si>
  <si>
    <t>step 2</t>
  </si>
  <si>
    <t>Calculate interest rate gap and cumulative gap [ (+) bank recieves payment, (-) bank make payment ]</t>
  </si>
  <si>
    <t>Interest rate gap</t>
  </si>
  <si>
    <t>Cumulutive interest rate gap</t>
  </si>
  <si>
    <t>Step 3</t>
  </si>
  <si>
    <t>Step 3.1</t>
  </si>
  <si>
    <t>Step 3.2</t>
  </si>
  <si>
    <t>Calculation of 1year sensitivity by indirect method (less precise but easier to calculate)</t>
  </si>
  <si>
    <t>Metric</t>
  </si>
  <si>
    <t>Number of month from current date to end date of interval</t>
  </si>
  <si>
    <t>average amount of month for which new rate would be applied, we make an assumption that expiration is in the middle of the range</t>
  </si>
  <si>
    <t>Sensitivity in simple words - which PL bank will face, if interest rates for any instruments in portfolio will change starting from reporting date</t>
  </si>
  <si>
    <t>Sensitivity to 1p.p. up</t>
  </si>
  <si>
    <t>Volume</t>
  </si>
  <si>
    <t>Current interest rate</t>
  </si>
  <si>
    <t>Interest income on 1 year horizon</t>
  </si>
  <si>
    <t>Calculations</t>
  </si>
  <si>
    <t>Step 3.2.1</t>
  </si>
  <si>
    <t>Step 3.2.2</t>
  </si>
  <si>
    <t>Necessary info</t>
  </si>
  <si>
    <t>III. Any inflow or outflow we instantly reinvest using previous rate + sensitivity shift</t>
  </si>
  <si>
    <t>Simplifications and assumptions:</t>
  </si>
  <si>
    <t>II. Structure of the balance remain the same (no new instruments, no repayments)</t>
  </si>
  <si>
    <t>New interest rate</t>
  </si>
  <si>
    <t>Total mortgage loan to individuals</t>
  </si>
  <si>
    <t>no changes because this inflows are out of 1 year horizon, it will not reprice on new interest rate</t>
  </si>
  <si>
    <t>Total Loan to legal entity</t>
  </si>
  <si>
    <t>instrument is not sensitive</t>
  </si>
  <si>
    <t>the instrument is hardly sensitive to interest rate shifts</t>
  </si>
  <si>
    <t>Total interest accrued</t>
  </si>
  <si>
    <t>outstanding amount th $</t>
  </si>
  <si>
    <t>direct method</t>
  </si>
  <si>
    <t>indirect method</t>
  </si>
  <si>
    <t>differense</t>
  </si>
  <si>
    <t>indirectod method is quite precise</t>
  </si>
  <si>
    <t>Considerations on interest rate hedging and it's effect on sencitivity</t>
  </si>
  <si>
    <t>Calculate interest rate gap</t>
  </si>
  <si>
    <t>Step 1</t>
  </si>
  <si>
    <t>Step 2</t>
  </si>
  <si>
    <t>Make hedging derivative with the following charactrestics</t>
  </si>
  <si>
    <t>Notional amount</t>
  </si>
  <si>
    <t>th $</t>
  </si>
  <si>
    <t xml:space="preserve">Step 3 </t>
  </si>
  <si>
    <t>Adjusted interest rate gap</t>
  </si>
  <si>
    <t xml:space="preserve">Receive rate </t>
  </si>
  <si>
    <t>Pay rate</t>
  </si>
  <si>
    <t>fixed rate</t>
  </si>
  <si>
    <t>Interest rate gap original</t>
  </si>
  <si>
    <t>Hedging swap</t>
  </si>
  <si>
    <t>contractual term 5 years</t>
  </si>
  <si>
    <t>hedged</t>
  </si>
  <si>
    <t xml:space="preserve">Or </t>
  </si>
  <si>
    <t>Grant loans with floating rates</t>
  </si>
  <si>
    <t>In order to make hedging here we need to obtain some instrument which will generate floating inflow because we de facto have floating outflow</t>
  </si>
  <si>
    <t>I. Shift in interest rates is the same for all tenor (paralell shift)</t>
  </si>
  <si>
    <t>Sensitivity analysis executed by direct and indirect methods</t>
  </si>
  <si>
    <t>Assets</t>
  </si>
  <si>
    <t>Liabilities</t>
  </si>
  <si>
    <t>not sensitive</t>
  </si>
  <si>
    <t>1-3 m</t>
  </si>
  <si>
    <t>3-6 m</t>
  </si>
  <si>
    <t>6-9 m</t>
  </si>
  <si>
    <t>9-12 m</t>
  </si>
  <si>
    <t>1-3 y</t>
  </si>
  <si>
    <t>3-5 y</t>
  </si>
  <si>
    <t>5-7 y</t>
  </si>
  <si>
    <t>7-10 y</t>
  </si>
  <si>
    <t>Direct method</t>
  </si>
  <si>
    <t>Current interest rates</t>
  </si>
  <si>
    <t>Projected interest rates</t>
  </si>
  <si>
    <t>Calculation of 1year sensitivity by direct method on 1% parallel shift (precise but resource consuming for the bank)</t>
  </si>
  <si>
    <t>Interest rate risk in the banking book (bis.org)</t>
  </si>
  <si>
    <t>Sensitivity to 1p.p. up (∆NII)</t>
  </si>
  <si>
    <t>Months before the principals repaid</t>
  </si>
  <si>
    <t>Total interest accrued (NII)</t>
  </si>
  <si>
    <t>Debt securities issued (no coupon)</t>
  </si>
  <si>
    <t>Interest income on 1 year horizon with  (NII)</t>
  </si>
  <si>
    <t>∆EVE calc</t>
  </si>
  <si>
    <t>Printscreens below from:</t>
  </si>
  <si>
    <t>CF</t>
  </si>
  <si>
    <t>Loan</t>
  </si>
  <si>
    <t>Deposit</t>
  </si>
  <si>
    <t>Months</t>
  </si>
  <si>
    <t>NII</t>
  </si>
  <si>
    <t>Interest rate original</t>
  </si>
  <si>
    <t>Interest rate after 1% up shift</t>
  </si>
  <si>
    <t>EVE original</t>
  </si>
  <si>
    <t>EVE after 1% up shift</t>
  </si>
  <si>
    <t>Interest accrued on current interest rate</t>
  </si>
  <si>
    <t xml:space="preserve">Interest accrued on shifted interest rate </t>
  </si>
  <si>
    <t>Interest repayment per contract</t>
  </si>
  <si>
    <t>months</t>
  </si>
  <si>
    <t>EVE</t>
  </si>
  <si>
    <t>Drivers of NII and EVE:</t>
  </si>
  <si>
    <t>Assets avg. Int. rate</t>
  </si>
  <si>
    <t>Liabilities avg. Int. rate</t>
  </si>
  <si>
    <t>Double dimension gap</t>
  </si>
  <si>
    <t>O/N</t>
  </si>
  <si>
    <t>1m</t>
  </si>
  <si>
    <t>3m</t>
  </si>
  <si>
    <t>6m</t>
  </si>
  <si>
    <t>1Y</t>
  </si>
  <si>
    <t>2Y</t>
  </si>
  <si>
    <t>3Y</t>
  </si>
  <si>
    <t>5Y</t>
  </si>
  <si>
    <t>7Y</t>
  </si>
  <si>
    <t>10Y</t>
  </si>
  <si>
    <t>15Y</t>
  </si>
  <si>
    <t>4Y</t>
  </si>
  <si>
    <t>No tenor</t>
  </si>
  <si>
    <t>Sum</t>
  </si>
  <si>
    <t>Initial term</t>
  </si>
  <si>
    <t>Risidual term</t>
  </si>
  <si>
    <t>interest rate swap</t>
  </si>
  <si>
    <t>Margin decomposition</t>
  </si>
  <si>
    <t>FTP rates</t>
  </si>
  <si>
    <t>Deposit contract rate</t>
  </si>
  <si>
    <t>Loan contract rate</t>
  </si>
  <si>
    <t>Do not percept these graphs as liquidity dashboards. It presents the parts of the portfolio which are exposed to repricing on different tenors</t>
  </si>
  <si>
    <t>Principal repayment = new "repriced" portfolio</t>
  </si>
  <si>
    <t>1. Terms of instruments</t>
  </si>
  <si>
    <t>2. Interest rate gap (repricing)</t>
  </si>
  <si>
    <t>3. The ratio of interest-bearing assets to interest-bearing liabilities</t>
  </si>
  <si>
    <t>bullet payment</t>
  </si>
  <si>
    <t>Equity of the Bank</t>
  </si>
  <si>
    <t>Sensitivity calc per tenor =&gt; (PL effect)</t>
  </si>
  <si>
    <t>Sensitivity to 1p.p. up (∆NII)=&gt; (PL effect)</t>
  </si>
  <si>
    <t>Loans</t>
  </si>
  <si>
    <t>Deposits</t>
  </si>
  <si>
    <t>Deposits on market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</si>
  <si>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</si>
  <si>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</si>
  <si>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</si>
  <si>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</si>
  <si>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</si>
  <si>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</si>
  <si>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</si>
  <si>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</si>
  <si>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</si>
  <si>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</si>
  <si>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</si>
  <si>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FTP</t>
  </si>
  <si>
    <t>FTP 2</t>
  </si>
  <si>
    <t>FTP 1</t>
  </si>
  <si>
    <t>Market rates</t>
  </si>
  <si>
    <t>FTP rate</t>
  </si>
  <si>
    <t>Loans proposal</t>
  </si>
  <si>
    <t>Deposits proposal</t>
  </si>
  <si>
    <t>Funding of loans</t>
  </si>
  <si>
    <t>Loan 1</t>
  </si>
  <si>
    <t>Loan 2</t>
  </si>
  <si>
    <t>FTP based on factual cost of funding</t>
  </si>
  <si>
    <t>Interest rate swaps</t>
  </si>
  <si>
    <t>FTP extrapolated based on IRS</t>
  </si>
  <si>
    <t>FTP principle 3</t>
  </si>
  <si>
    <t xml:space="preserve">FTP </t>
  </si>
  <si>
    <t>Liquidity gap</t>
  </si>
  <si>
    <t>Cumulative liqudity gap</t>
  </si>
  <si>
    <t>range</t>
  </si>
  <si>
    <t>FTP adj on liquidity</t>
  </si>
  <si>
    <t>Risk free rate original</t>
  </si>
  <si>
    <t>Risk free rate 1%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</si>
</sst>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  <numFmt numFmtId="167" formatCode="_-* #,##0.0000_-;\-* #,##0.0000_-;_-* &quot;-&quot;??_-;_-@_-"/>
    <numFmt numFmtId="168" formatCode="_-* #,##0.0_-;\-* #,##0.0_-;_-* &quot;-&quot;??_-;_-@_-"/>
    <numFmt numFmtId="169" formatCode="_-* #,##0.0_-;\-* #,##0.0_-;_-* &quot;-&quot;?_-;_-@_-"/>
    <numFmt numFmtId="170" formatCode="_(* #,##0.00_);_(* \(#,##0.00\);_(* &quot;-&quot;??_);_(@_)"/>
    <numFmt numFmtId="171" formatCode="_ * #,##0.0_ ;_ * \-#,##0.0_ ;_ * &quot;-&quot;?_ ;_ @_ "/>
    <numFmt numFmtId="172" formatCode="_ * #,##0.00_ ;_ * \-#,##0.00_ ;_ * &quot;-&quot;?_ ;_ @_ "/>
    <numFmt numFmtId="173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8"/>
      <color theme="1"/>
      <name val="Arial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0" fontId="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9" fontId="2" fillId="0" borderId="0" xfId="0" applyNumberFormat="1" applyFont="1"/>
    <xf numFmtId="14" fontId="2" fillId="0" borderId="0" xfId="0" applyNumberFormat="1" applyFont="1"/>
    <xf numFmtId="166" fontId="2" fillId="0" borderId="0" xfId="1" applyNumberFormat="1" applyFont="1"/>
    <xf numFmtId="167" fontId="2" fillId="0" borderId="0" xfId="1" applyNumberFormat="1" applyFont="1"/>
    <xf numFmtId="10" fontId="2" fillId="0" borderId="0" xfId="2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8" fontId="2" fillId="0" borderId="1" xfId="0" applyNumberFormat="1" applyFont="1" applyBorder="1" applyAlignment="1">
      <alignment vertical="center"/>
    </xf>
    <xf numFmtId="9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4" fontId="2" fillId="0" borderId="0" xfId="1" applyFont="1" applyAlignment="1">
      <alignment vertical="center"/>
    </xf>
    <xf numFmtId="10" fontId="2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10" fontId="2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0" fontId="3" fillId="0" borderId="0" xfId="0" applyNumberFormat="1" applyFont="1" applyBorder="1" applyAlignment="1">
      <alignment vertical="center" wrapText="1"/>
    </xf>
    <xf numFmtId="168" fontId="3" fillId="0" borderId="0" xfId="0" applyNumberFormat="1" applyFont="1" applyBorder="1" applyAlignment="1">
      <alignment vertical="center"/>
    </xf>
    <xf numFmtId="9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0" fontId="2" fillId="0" borderId="0" xfId="2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14" fontId="2" fillId="0" borderId="5" xfId="0" applyNumberFormat="1" applyFont="1" applyBorder="1" applyAlignment="1">
      <alignment vertical="center" wrapText="1"/>
    </xf>
    <xf numFmtId="10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0" fontId="2" fillId="0" borderId="6" xfId="2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10" fontId="2" fillId="0" borderId="1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0" fontId="2" fillId="0" borderId="11" xfId="2" applyNumberFormat="1" applyFont="1" applyBorder="1" applyAlignment="1">
      <alignment vertical="center"/>
    </xf>
    <xf numFmtId="10" fontId="3" fillId="0" borderId="10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0" fontId="2" fillId="0" borderId="18" xfId="0" applyNumberFormat="1" applyFont="1" applyBorder="1" applyAlignment="1">
      <alignment vertical="center"/>
    </xf>
    <xf numFmtId="10" fontId="2" fillId="0" borderId="1" xfId="2" applyNumberFormat="1" applyFont="1" applyBorder="1" applyAlignment="1">
      <alignment vertical="center"/>
    </xf>
    <xf numFmtId="14" fontId="2" fillId="0" borderId="18" xfId="0" applyNumberFormat="1" applyFont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10" fontId="2" fillId="0" borderId="24" xfId="0" applyNumberFormat="1" applyFont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10" fontId="2" fillId="0" borderId="16" xfId="0" applyNumberFormat="1" applyFont="1" applyBorder="1" applyAlignment="1">
      <alignment vertical="center" wrapText="1"/>
    </xf>
    <xf numFmtId="10" fontId="2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0" fontId="2" fillId="0" borderId="16" xfId="2" applyNumberFormat="1" applyFont="1" applyBorder="1" applyAlignment="1">
      <alignment vertical="center"/>
    </xf>
    <xf numFmtId="10" fontId="2" fillId="0" borderId="14" xfId="0" applyNumberFormat="1" applyFont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168" fontId="2" fillId="0" borderId="1" xfId="1" applyNumberFormat="1" applyFont="1" applyBorder="1" applyAlignment="1">
      <alignment vertical="center"/>
    </xf>
    <xf numFmtId="168" fontId="2" fillId="0" borderId="1" xfId="1" applyNumberFormat="1" applyFont="1" applyFill="1" applyBorder="1" applyAlignment="1">
      <alignment vertical="center"/>
    </xf>
    <xf numFmtId="168" fontId="9" fillId="0" borderId="1" xfId="1" applyNumberFormat="1" applyFont="1" applyBorder="1" applyAlignment="1">
      <alignment vertical="center"/>
    </xf>
    <xf numFmtId="168" fontId="3" fillId="0" borderId="1" xfId="1" applyNumberFormat="1" applyFont="1" applyBorder="1" applyAlignment="1">
      <alignment vertical="center"/>
    </xf>
    <xf numFmtId="168" fontId="2" fillId="0" borderId="0" xfId="1" applyNumberFormat="1" applyFont="1" applyAlignment="1">
      <alignment vertical="center"/>
    </xf>
    <xf numFmtId="168" fontId="3" fillId="0" borderId="15" xfId="1" applyNumberFormat="1" applyFont="1" applyBorder="1" applyAlignment="1">
      <alignment vertical="center"/>
    </xf>
    <xf numFmtId="168" fontId="2" fillId="0" borderId="14" xfId="0" applyNumberFormat="1" applyFont="1" applyBorder="1" applyAlignment="1">
      <alignment vertical="center"/>
    </xf>
    <xf numFmtId="168" fontId="2" fillId="0" borderId="5" xfId="0" applyNumberFormat="1" applyFont="1" applyBorder="1" applyAlignment="1">
      <alignment vertical="center"/>
    </xf>
    <xf numFmtId="168" fontId="3" fillId="0" borderId="10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vertical="center"/>
    </xf>
    <xf numFmtId="168" fontId="2" fillId="0" borderId="24" xfId="0" applyNumberFormat="1" applyFont="1" applyBorder="1" applyAlignment="1">
      <alignment vertical="center"/>
    </xf>
    <xf numFmtId="168" fontId="2" fillId="0" borderId="16" xfId="0" applyNumberFormat="1" applyFont="1" applyBorder="1" applyAlignment="1">
      <alignment vertical="center"/>
    </xf>
    <xf numFmtId="168" fontId="3" fillId="0" borderId="18" xfId="1" applyNumberFormat="1" applyFont="1" applyBorder="1" applyAlignment="1">
      <alignment horizontal="center" vertical="center" wrapText="1"/>
    </xf>
    <xf numFmtId="168" fontId="3" fillId="0" borderId="20" xfId="1" applyNumberFormat="1" applyFont="1" applyBorder="1" applyAlignment="1">
      <alignment horizontal="center" vertical="center" wrapText="1"/>
    </xf>
    <xf numFmtId="168" fontId="2" fillId="0" borderId="6" xfId="1" applyNumberFormat="1" applyFont="1" applyBorder="1" applyAlignment="1">
      <alignment vertical="center"/>
    </xf>
    <xf numFmtId="168" fontId="2" fillId="0" borderId="7" xfId="1" applyNumberFormat="1" applyFont="1" applyBorder="1" applyAlignment="1">
      <alignment vertical="center"/>
    </xf>
    <xf numFmtId="168" fontId="2" fillId="0" borderId="14" xfId="1" applyNumberFormat="1" applyFont="1" applyFill="1" applyBorder="1" applyAlignment="1">
      <alignment vertical="center"/>
    </xf>
    <xf numFmtId="168" fontId="2" fillId="0" borderId="19" xfId="1" applyNumberFormat="1" applyFont="1" applyFill="1" applyBorder="1" applyAlignment="1">
      <alignment vertical="center"/>
    </xf>
    <xf numFmtId="168" fontId="2" fillId="0" borderId="24" xfId="1" applyNumberFormat="1" applyFont="1" applyFill="1" applyBorder="1" applyAlignment="1">
      <alignment vertical="center"/>
    </xf>
    <xf numFmtId="168" fontId="2" fillId="0" borderId="25" xfId="1" applyNumberFormat="1" applyFont="1" applyFill="1" applyBorder="1" applyAlignment="1">
      <alignment vertical="center"/>
    </xf>
    <xf numFmtId="168" fontId="2" fillId="0" borderId="16" xfId="1" applyNumberFormat="1" applyFont="1" applyBorder="1" applyAlignment="1">
      <alignment vertical="center"/>
    </xf>
    <xf numFmtId="168" fontId="2" fillId="0" borderId="27" xfId="1" applyNumberFormat="1" applyFont="1" applyBorder="1" applyAlignment="1">
      <alignment vertical="center"/>
    </xf>
    <xf numFmtId="168" fontId="3" fillId="0" borderId="0" xfId="1" applyNumberFormat="1" applyFont="1" applyAlignment="1">
      <alignment vertical="center"/>
    </xf>
    <xf numFmtId="168" fontId="2" fillId="0" borderId="0" xfId="1" applyNumberFormat="1" applyFont="1"/>
    <xf numFmtId="169" fontId="2" fillId="0" borderId="0" xfId="0" applyNumberFormat="1" applyFont="1"/>
    <xf numFmtId="164" fontId="2" fillId="0" borderId="0" xfId="0" applyNumberFormat="1" applyFont="1"/>
    <xf numFmtId="168" fontId="3" fillId="0" borderId="15" xfId="0" applyNumberFormat="1" applyFont="1" applyBorder="1"/>
    <xf numFmtId="0" fontId="11" fillId="0" borderId="0" xfId="0" applyFont="1" applyAlignment="1">
      <alignment vertical="center"/>
    </xf>
    <xf numFmtId="0" fontId="2" fillId="0" borderId="1" xfId="0" applyFont="1" applyBorder="1"/>
    <xf numFmtId="168" fontId="2" fillId="0" borderId="1" xfId="1" applyNumberFormat="1" applyFont="1" applyBorder="1"/>
    <xf numFmtId="0" fontId="3" fillId="0" borderId="0" xfId="0" applyFont="1" applyFill="1" applyAlignment="1">
      <alignment vertical="center"/>
    </xf>
    <xf numFmtId="168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8" fontId="3" fillId="0" borderId="2" xfId="1" applyNumberFormat="1" applyFont="1" applyFill="1" applyBorder="1" applyAlignment="1">
      <alignment vertical="center"/>
    </xf>
    <xf numFmtId="168" fontId="2" fillId="0" borderId="0" xfId="1" applyNumberFormat="1" applyFont="1" applyFill="1"/>
    <xf numFmtId="0" fontId="2" fillId="0" borderId="0" xfId="0" applyFont="1" applyFill="1"/>
    <xf numFmtId="168" fontId="3" fillId="0" borderId="7" xfId="1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0" fontId="2" fillId="3" borderId="1" xfId="2" applyNumberFormat="1" applyFont="1" applyFill="1" applyBorder="1" applyAlignment="1">
      <alignment vertical="center"/>
    </xf>
    <xf numFmtId="168" fontId="2" fillId="3" borderId="1" xfId="1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0" fontId="2" fillId="0" borderId="5" xfId="2" applyNumberFormat="1" applyFont="1" applyBorder="1" applyAlignment="1">
      <alignment vertical="center"/>
    </xf>
    <xf numFmtId="168" fontId="2" fillId="0" borderId="5" xfId="1" applyNumberFormat="1" applyFont="1" applyBorder="1" applyAlignment="1">
      <alignment vertical="center"/>
    </xf>
    <xf numFmtId="168" fontId="2" fillId="0" borderId="29" xfId="1" applyNumberFormat="1" applyFont="1" applyBorder="1" applyAlignment="1">
      <alignment vertical="center"/>
    </xf>
    <xf numFmtId="168" fontId="2" fillId="0" borderId="21" xfId="1" applyNumberFormat="1" applyFont="1" applyBorder="1" applyAlignment="1">
      <alignment vertical="center"/>
    </xf>
    <xf numFmtId="168" fontId="2" fillId="3" borderId="21" xfId="1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10" fontId="3" fillId="0" borderId="10" xfId="2" applyNumberFormat="1" applyFont="1" applyBorder="1" applyAlignment="1">
      <alignment vertical="center"/>
    </xf>
    <xf numFmtId="168" fontId="3" fillId="0" borderId="10" xfId="1" applyNumberFormat="1" applyFont="1" applyBorder="1" applyAlignment="1">
      <alignment vertical="center"/>
    </xf>
    <xf numFmtId="168" fontId="3" fillId="0" borderId="22" xfId="1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14" fontId="3" fillId="0" borderId="3" xfId="0" applyNumberFormat="1" applyFont="1" applyBorder="1" applyAlignment="1">
      <alignment vertical="center" wrapText="1"/>
    </xf>
    <xf numFmtId="168" fontId="3" fillId="0" borderId="3" xfId="0" applyNumberFormat="1" applyFont="1" applyBorder="1" applyAlignment="1">
      <alignment vertical="center"/>
    </xf>
    <xf numFmtId="10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0" fontId="3" fillId="0" borderId="3" xfId="2" applyNumberFormat="1" applyFont="1" applyBorder="1" applyAlignment="1">
      <alignment vertical="center"/>
    </xf>
    <xf numFmtId="168" fontId="3" fillId="0" borderId="3" xfId="1" applyNumberFormat="1" applyFont="1" applyBorder="1" applyAlignment="1">
      <alignment vertical="center"/>
    </xf>
    <xf numFmtId="168" fontId="3" fillId="0" borderId="31" xfId="1" applyNumberFormat="1" applyFont="1" applyBorder="1" applyAlignment="1">
      <alignment vertical="center"/>
    </xf>
    <xf numFmtId="14" fontId="2" fillId="0" borderId="16" xfId="0" applyNumberFormat="1" applyFont="1" applyBorder="1" applyAlignment="1">
      <alignment vertical="center" wrapText="1"/>
    </xf>
    <xf numFmtId="168" fontId="2" fillId="0" borderId="11" xfId="1" applyNumberFormat="1" applyFont="1" applyBorder="1" applyAlignment="1">
      <alignment vertical="center"/>
    </xf>
    <xf numFmtId="168" fontId="2" fillId="0" borderId="12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0" fillId="0" borderId="0" xfId="0" applyFont="1"/>
    <xf numFmtId="0" fontId="3" fillId="4" borderId="0" xfId="0" applyFont="1" applyFill="1" applyAlignment="1">
      <alignment vertical="center"/>
    </xf>
    <xf numFmtId="165" fontId="3" fillId="4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0" fontId="2" fillId="0" borderId="1" xfId="2" applyNumberFormat="1" applyFont="1" applyBorder="1"/>
    <xf numFmtId="10" fontId="2" fillId="0" borderId="1" xfId="2" applyNumberFormat="1" applyFont="1" applyFill="1" applyBorder="1"/>
    <xf numFmtId="0" fontId="2" fillId="0" borderId="0" xfId="0" applyFont="1" applyBorder="1"/>
    <xf numFmtId="0" fontId="4" fillId="0" borderId="0" xfId="3"/>
    <xf numFmtId="168" fontId="3" fillId="4" borderId="0" xfId="1" applyNumberFormat="1" applyFont="1" applyFill="1" applyAlignment="1">
      <alignment vertical="center"/>
    </xf>
    <xf numFmtId="168" fontId="3" fillId="0" borderId="0" xfId="1" applyNumberFormat="1" applyFont="1" applyAlignment="1">
      <alignment horizontal="center" vertical="center" wrapText="1"/>
    </xf>
    <xf numFmtId="168" fontId="2" fillId="2" borderId="0" xfId="1" applyNumberFormat="1" applyFont="1" applyFill="1" applyAlignment="1">
      <alignment vertical="center"/>
    </xf>
    <xf numFmtId="168" fontId="9" fillId="0" borderId="0" xfId="1" applyNumberFormat="1" applyFont="1" applyAlignment="1">
      <alignment vertical="center"/>
    </xf>
    <xf numFmtId="168" fontId="3" fillId="2" borderId="0" xfId="1" applyNumberFormat="1" applyFont="1" applyFill="1" applyAlignment="1">
      <alignment vertical="center"/>
    </xf>
    <xf numFmtId="168" fontId="2" fillId="0" borderId="0" xfId="1" applyNumberFormat="1" applyFont="1" applyAlignment="1">
      <alignment horizontal="center"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vertical="center"/>
    </xf>
    <xf numFmtId="168" fontId="13" fillId="0" borderId="15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8" fontId="14" fillId="0" borderId="0" xfId="1" applyNumberFormat="1" applyFont="1" applyAlignment="1">
      <alignment vertical="center"/>
    </xf>
    <xf numFmtId="168" fontId="2" fillId="0" borderId="0" xfId="1" applyNumberFormat="1" applyFont="1" applyAlignment="1">
      <alignment vertical="center" wrapText="1"/>
    </xf>
    <xf numFmtId="168" fontId="3" fillId="0" borderId="0" xfId="1" applyNumberFormat="1" applyFont="1" applyAlignment="1">
      <alignment vertical="center" wrapText="1"/>
    </xf>
    <xf numFmtId="168" fontId="3" fillId="4" borderId="0" xfId="1" applyNumberFormat="1" applyFont="1" applyFill="1" applyAlignment="1">
      <alignment vertical="center" wrapText="1"/>
    </xf>
    <xf numFmtId="168" fontId="2" fillId="0" borderId="1" xfId="1" applyNumberFormat="1" applyFont="1" applyBorder="1" applyAlignment="1">
      <alignment vertical="center" wrapText="1"/>
    </xf>
    <xf numFmtId="168" fontId="5" fillId="0" borderId="1" xfId="1" applyNumberFormat="1" applyFont="1" applyBorder="1" applyAlignment="1">
      <alignment vertical="center" wrapText="1"/>
    </xf>
    <xf numFmtId="168" fontId="2" fillId="2" borderId="0" xfId="1" applyNumberFormat="1" applyFont="1" applyFill="1" applyAlignment="1">
      <alignment vertical="center" wrapText="1"/>
    </xf>
    <xf numFmtId="168" fontId="3" fillId="0" borderId="0" xfId="1" applyNumberFormat="1" applyFont="1" applyFill="1" applyAlignment="1">
      <alignment vertical="center" wrapText="1"/>
    </xf>
    <xf numFmtId="168" fontId="9" fillId="0" borderId="0" xfId="1" applyNumberFormat="1" applyFont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165" fontId="2" fillId="0" borderId="0" xfId="0" applyNumberFormat="1" applyFont="1"/>
    <xf numFmtId="0" fontId="2" fillId="0" borderId="0" xfId="0" applyFont="1" applyAlignment="1">
      <alignment wrapText="1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33" xfId="0" applyFont="1" applyBorder="1"/>
    <xf numFmtId="165" fontId="2" fillId="0" borderId="33" xfId="0" applyNumberFormat="1" applyFont="1" applyBorder="1"/>
    <xf numFmtId="165" fontId="2" fillId="0" borderId="0" xfId="0" applyNumberFormat="1" applyFont="1" applyBorder="1"/>
    <xf numFmtId="9" fontId="2" fillId="0" borderId="0" xfId="0" applyNumberFormat="1" applyFont="1" applyBorder="1"/>
    <xf numFmtId="168" fontId="2" fillId="0" borderId="0" xfId="1" applyNumberFormat="1" applyFont="1" applyBorder="1"/>
    <xf numFmtId="165" fontId="2" fillId="0" borderId="11" xfId="0" applyNumberFormat="1" applyFont="1" applyBorder="1"/>
    <xf numFmtId="9" fontId="2" fillId="0" borderId="11" xfId="0" applyNumberFormat="1" applyFont="1" applyBorder="1"/>
    <xf numFmtId="172" fontId="2" fillId="0" borderId="0" xfId="0" applyNumberFormat="1" applyFont="1"/>
    <xf numFmtId="164" fontId="2" fillId="0" borderId="0" xfId="1" applyFont="1" applyBorder="1"/>
    <xf numFmtId="164" fontId="2" fillId="0" borderId="0" xfId="1" applyNumberFormat="1" applyFont="1" applyBorder="1"/>
    <xf numFmtId="164" fontId="2" fillId="5" borderId="0" xfId="1" applyFont="1" applyFill="1" applyBorder="1"/>
    <xf numFmtId="164" fontId="2" fillId="5" borderId="11" xfId="1" applyFont="1" applyFill="1" applyBorder="1"/>
    <xf numFmtId="165" fontId="2" fillId="0" borderId="0" xfId="1" applyNumberFormat="1" applyFont="1" applyBorder="1"/>
    <xf numFmtId="168" fontId="2" fillId="0" borderId="0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8" fontId="2" fillId="0" borderId="0" xfId="1" applyNumberFormat="1" applyFont="1" applyFill="1" applyBorder="1" applyAlignment="1">
      <alignment vertical="center"/>
    </xf>
    <xf numFmtId="168" fontId="13" fillId="0" borderId="0" xfId="1" applyNumberFormat="1" applyFont="1" applyFill="1" applyBorder="1" applyAlignment="1">
      <alignment vertical="center"/>
    </xf>
    <xf numFmtId="171" fontId="13" fillId="0" borderId="0" xfId="0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vertical="center"/>
    </xf>
    <xf numFmtId="171" fontId="2" fillId="0" borderId="0" xfId="0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>
      <alignment vertical="center"/>
    </xf>
    <xf numFmtId="165" fontId="2" fillId="0" borderId="34" xfId="0" applyNumberFormat="1" applyFont="1" applyBorder="1"/>
    <xf numFmtId="173" fontId="2" fillId="0" borderId="0" xfId="2" applyNumberFormat="1" applyFont="1"/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2" fillId="6" borderId="1" xfId="0" applyFont="1" applyFill="1" applyBorder="1"/>
    <xf numFmtId="0" fontId="3" fillId="0" borderId="1" xfId="0" applyFont="1" applyBorder="1"/>
    <xf numFmtId="173" fontId="2" fillId="0" borderId="1" xfId="2" applyNumberFormat="1" applyFont="1" applyBorder="1"/>
    <xf numFmtId="173" fontId="2" fillId="0" borderId="1" xfId="2" applyNumberFormat="1" applyFont="1" applyFill="1" applyBorder="1"/>
    <xf numFmtId="173" fontId="2" fillId="0" borderId="1" xfId="0" applyNumberFormat="1" applyFont="1" applyBorder="1" applyAlignment="1">
      <alignment vertical="center"/>
    </xf>
    <xf numFmtId="173" fontId="2" fillId="0" borderId="1" xfId="2" applyNumberFormat="1" applyFont="1" applyBorder="1" applyAlignment="1">
      <alignment vertical="center"/>
    </xf>
    <xf numFmtId="173" fontId="2" fillId="0" borderId="1" xfId="1" applyNumberFormat="1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2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165" fontId="2" fillId="0" borderId="0" xfId="1" applyNumberFormat="1" applyFont="1"/>
    <xf numFmtId="171" fontId="2" fillId="0" borderId="0" xfId="0" applyNumberFormat="1" applyFont="1" applyAlignment="1">
      <alignment vertical="center"/>
    </xf>
    <xf numFmtId="173" fontId="2" fillId="0" borderId="0" xfId="0" applyNumberFormat="1" applyFont="1"/>
    <xf numFmtId="0" fontId="15" fillId="2" borderId="0" xfId="0" applyFont="1" applyFill="1"/>
    <xf numFmtId="171" fontId="2" fillId="0" borderId="0" xfId="0" applyNumberFormat="1" applyFont="1"/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165" fontId="2" fillId="0" borderId="41" xfId="0" applyNumberFormat="1" applyFont="1" applyBorder="1"/>
    <xf numFmtId="168" fontId="2" fillId="0" borderId="42" xfId="1" applyNumberFormat="1" applyFont="1" applyBorder="1"/>
    <xf numFmtId="165" fontId="2" fillId="0" borderId="41" xfId="1" applyNumberFormat="1" applyFont="1" applyBorder="1"/>
    <xf numFmtId="165" fontId="2" fillId="0" borderId="43" xfId="1" applyNumberFormat="1" applyFont="1" applyBorder="1"/>
    <xf numFmtId="165" fontId="2" fillId="0" borderId="44" xfId="1" applyNumberFormat="1" applyFont="1" applyBorder="1"/>
    <xf numFmtId="9" fontId="2" fillId="0" borderId="44" xfId="0" applyNumberFormat="1" applyFont="1" applyBorder="1"/>
    <xf numFmtId="164" fontId="2" fillId="0" borderId="44" xfId="1" applyFont="1" applyBorder="1"/>
    <xf numFmtId="168" fontId="2" fillId="0" borderId="44" xfId="1" applyNumberFormat="1" applyFont="1" applyBorder="1"/>
    <xf numFmtId="168" fontId="2" fillId="0" borderId="45" xfId="1" applyNumberFormat="1" applyFont="1" applyBorder="1"/>
    <xf numFmtId="0" fontId="3" fillId="0" borderId="3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" xfId="1" builtinId="3"/>
    <cellStyle name="Comma 2" xfId="4" xr:uid="{E1FF5BF4-666E-4D46-877F-9E9F8D5C8F53}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6901584129592E-2"/>
          <c:y val="3.8737437445647276E-2"/>
          <c:w val="0.91466381011562481"/>
          <c:h val="0.806850324370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'IR gap and ∆NII - detailed calc'!$C$80</c:f>
              <c:strCache>
                <c:ptCount val="1"/>
                <c:pt idx="0">
                  <c:v>Interest rate gap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9.3298319139784754E-17"/>
                  <c:y val="9.8995673472209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AD-441B-945E-04E7D0F98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'IR gap and ∆NII - detailed calc'!$D$70:$M$70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'IR gap and ∆NII - detailed calc'!$D$80:$M$80</c:f>
              <c:numCache>
                <c:formatCode>_-* #,##0.0_-;\-* #,##0.0_-;_-* "-"??_-;_-@_-</c:formatCode>
                <c:ptCount val="10"/>
                <c:pt idx="0">
                  <c:v>162.89930086358669</c:v>
                </c:pt>
                <c:pt idx="1">
                  <c:v>-4669.9500339746828</c:v>
                </c:pt>
                <c:pt idx="2">
                  <c:v>505.97129168887943</c:v>
                </c:pt>
                <c:pt idx="3">
                  <c:v>519.48777192662067</c:v>
                </c:pt>
                <c:pt idx="4">
                  <c:v>533.51748242276403</c:v>
                </c:pt>
                <c:pt idx="5">
                  <c:v>-158.41678407502059</c:v>
                </c:pt>
                <c:pt idx="6">
                  <c:v>6106.4909711477931</c:v>
                </c:pt>
                <c:pt idx="7">
                  <c:v>1200</c:v>
                </c:pt>
                <c:pt idx="8">
                  <c:v>1800</c:v>
                </c:pt>
                <c:pt idx="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C-4B59-9AF1-119462676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800768"/>
        <c:axId val="1589791200"/>
      </c:barChart>
      <c:lineChart>
        <c:grouping val="standard"/>
        <c:varyColors val="0"/>
        <c:ser>
          <c:idx val="1"/>
          <c:order val="1"/>
          <c:tx>
            <c:strRef>
              <c:f>'IR gap and ∆NII - detailed calc'!$C$81</c:f>
              <c:strCache>
                <c:ptCount val="1"/>
                <c:pt idx="0">
                  <c:v>Cumulutive interest rate gap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'IR gap and ∆NII - detailed calc'!$D$70:$M$70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'IR gap and ∆NII - detailed calc'!$D$81:$M$81</c:f>
              <c:numCache>
                <c:formatCode>_-* #,##0.0_-;\-* #,##0.0_-;_-* "-"??_-;_-@_-</c:formatCode>
                <c:ptCount val="10"/>
                <c:pt idx="0">
                  <c:v>162.89930086358669</c:v>
                </c:pt>
                <c:pt idx="1">
                  <c:v>-4507.0507331110957</c:v>
                </c:pt>
                <c:pt idx="2">
                  <c:v>-4001.0794414222164</c:v>
                </c:pt>
                <c:pt idx="3">
                  <c:v>-3481.5916694955959</c:v>
                </c:pt>
                <c:pt idx="4">
                  <c:v>-2948.0741870728316</c:v>
                </c:pt>
                <c:pt idx="5">
                  <c:v>-3106.4909711478522</c:v>
                </c:pt>
                <c:pt idx="6">
                  <c:v>2999.9999999999409</c:v>
                </c:pt>
                <c:pt idx="7">
                  <c:v>4199.9999999999409</c:v>
                </c:pt>
                <c:pt idx="8">
                  <c:v>5999.9999999999409</c:v>
                </c:pt>
                <c:pt idx="9">
                  <c:v>-5.9117155615240335E-11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C-4B59-9AF1-119462676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800768"/>
        <c:axId val="1589791200"/>
      </c:lineChart>
      <c:catAx>
        <c:axId val="158980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589791200"/>
        <c:crosses val="autoZero"/>
        <c:auto val="1"/>
        <c:lblAlgn val="ctr"/>
        <c:lblOffset val="100"/>
        <c:noMultiLvlLbl val="0"/>
      </c:catAx>
      <c:valAx>
        <c:axId val="15897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58980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 slides'!$C$147</c:f>
              <c:strCache>
                <c:ptCount val="1"/>
                <c:pt idx="0">
                  <c:v>Market rates</c:v>
                </c:pt>
              </c:strCache>
            </c:strRef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cat>
            <c:strRef>
              <c:f>'for slides'!$B$148:$B$156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slides'!$C$148:$C$156</c:f>
              <c:numCache>
                <c:formatCode>0.0%</c:formatCode>
                <c:ptCount val="9"/>
                <c:pt idx="0">
                  <c:v>5.1999999999999998E-2</c:v>
                </c:pt>
                <c:pt idx="1">
                  <c:v>5.5E-2</c:v>
                </c:pt>
                <c:pt idx="2">
                  <c:v>5.8999999999999997E-2</c:v>
                </c:pt>
                <c:pt idx="3">
                  <c:v>6.3E-2</c:v>
                </c:pt>
                <c:pt idx="4">
                  <c:v>6.9000000000000006E-2</c:v>
                </c:pt>
                <c:pt idx="5">
                  <c:v>7.5999999999999998E-2</c:v>
                </c:pt>
                <c:pt idx="6">
                  <c:v>8.5000000000000006E-2</c:v>
                </c:pt>
                <c:pt idx="7">
                  <c:v>8.8999999999999996E-2</c:v>
                </c:pt>
                <c:pt idx="8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9-4407-ABC7-2291B28AF946}"/>
            </c:ext>
          </c:extLst>
        </c:ser>
        <c:ser>
          <c:idx val="1"/>
          <c:order val="1"/>
          <c:tx>
            <c:strRef>
              <c:f>'for slides'!$D$147</c:f>
              <c:strCache>
                <c:ptCount val="1"/>
                <c:pt idx="0">
                  <c:v>FTP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'for slides'!$B$148:$B$156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slides'!$D$148:$D$156</c:f>
              <c:numCache>
                <c:formatCode>0%</c:formatCode>
                <c:ptCount val="9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9-4407-ABC7-2291B28AF946}"/>
            </c:ext>
          </c:extLst>
        </c:ser>
        <c:ser>
          <c:idx val="2"/>
          <c:order val="2"/>
          <c:tx>
            <c:strRef>
              <c:f>'for slides'!$E$147</c:f>
              <c:strCache>
                <c:ptCount val="1"/>
                <c:pt idx="0">
                  <c:v>Loans proposal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'for slides'!$B$148:$B$156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slides'!$E$148:$E$156</c:f>
              <c:numCache>
                <c:formatCode>General</c:formatCode>
                <c:ptCount val="9"/>
                <c:pt idx="0" formatCode="0%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9-4407-ABC7-2291B28AF946}"/>
            </c:ext>
          </c:extLst>
        </c:ser>
        <c:ser>
          <c:idx val="3"/>
          <c:order val="3"/>
          <c:tx>
            <c:strRef>
              <c:f>'for slides'!$F$147</c:f>
              <c:strCache>
                <c:ptCount val="1"/>
                <c:pt idx="0">
                  <c:v>Deposits proposal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'for slides'!$B$148:$B$156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slides'!$F$148:$F$156</c:f>
              <c:numCache>
                <c:formatCode>General</c:formatCode>
                <c:ptCount val="9"/>
                <c:pt idx="0" formatCode="0%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09-4407-ABC7-2291B28AF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601407"/>
        <c:axId val="1187595167"/>
      </c:lineChart>
      <c:catAx>
        <c:axId val="118760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187595167"/>
        <c:crosses val="autoZero"/>
        <c:auto val="1"/>
        <c:lblAlgn val="ctr"/>
        <c:lblOffset val="100"/>
        <c:noMultiLvlLbl val="0"/>
      </c:catAx>
      <c:valAx>
        <c:axId val="1187595167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18760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 slides'!$C$172:$C$173</c:f>
              <c:strCache>
                <c:ptCount val="2"/>
                <c:pt idx="0">
                  <c:v>Principal repayment</c:v>
                </c:pt>
                <c:pt idx="1">
                  <c:v>Loan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 slides'!$B$174:$B$181</c:f>
              <c:strCache>
                <c:ptCount val="8"/>
                <c:pt idx="0">
                  <c:v>1-3 m</c:v>
                </c:pt>
                <c:pt idx="1">
                  <c:v>3-6 m</c:v>
                </c:pt>
                <c:pt idx="2">
                  <c:v>6-9 m</c:v>
                </c:pt>
                <c:pt idx="3">
                  <c:v>9-12 m</c:v>
                </c:pt>
                <c:pt idx="4">
                  <c:v>1-3 y</c:v>
                </c:pt>
                <c:pt idx="5">
                  <c:v>3-5 y</c:v>
                </c:pt>
                <c:pt idx="6">
                  <c:v>5-7 y</c:v>
                </c:pt>
                <c:pt idx="7">
                  <c:v>7-10 y</c:v>
                </c:pt>
              </c:strCache>
            </c:strRef>
          </c:cat>
          <c:val>
            <c:numRef>
              <c:f>'for slides'!$C$174:$C$181</c:f>
              <c:numCache>
                <c:formatCode>_-* #,##0_-;\-* #,##0_-;_-* "-"??_-;_-@_-</c:formatCode>
                <c:ptCount val="8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E-4805-8AF4-BF3DC7EF9137}"/>
            </c:ext>
          </c:extLst>
        </c:ser>
        <c:ser>
          <c:idx val="1"/>
          <c:order val="1"/>
          <c:tx>
            <c:strRef>
              <c:f>'for slides'!$D$172:$D$173</c:f>
              <c:strCache>
                <c:ptCount val="2"/>
                <c:pt idx="0">
                  <c:v>Principal repayment</c:v>
                </c:pt>
                <c:pt idx="1">
                  <c:v>Loan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 slides'!$B$174:$B$181</c:f>
              <c:strCache>
                <c:ptCount val="8"/>
                <c:pt idx="0">
                  <c:v>1-3 m</c:v>
                </c:pt>
                <c:pt idx="1">
                  <c:v>3-6 m</c:v>
                </c:pt>
                <c:pt idx="2">
                  <c:v>6-9 m</c:v>
                </c:pt>
                <c:pt idx="3">
                  <c:v>9-12 m</c:v>
                </c:pt>
                <c:pt idx="4">
                  <c:v>1-3 y</c:v>
                </c:pt>
                <c:pt idx="5">
                  <c:v>3-5 y</c:v>
                </c:pt>
                <c:pt idx="6">
                  <c:v>5-7 y</c:v>
                </c:pt>
                <c:pt idx="7">
                  <c:v>7-10 y</c:v>
                </c:pt>
              </c:strCache>
            </c:strRef>
          </c:cat>
          <c:val>
            <c:numRef>
              <c:f>'for slides'!$D$174:$D$181</c:f>
              <c:numCache>
                <c:formatCode>_-* #,##0_-;\-* #,##0_-;_-* "-"??_-;_-@_-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6500</c:v>
                </c:pt>
                <c:pt idx="6">
                  <c:v>0</c:v>
                </c:pt>
                <c:pt idx="7">
                  <c:v>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E-4805-8AF4-BF3DC7EF91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7741407"/>
        <c:axId val="867730175"/>
      </c:barChart>
      <c:catAx>
        <c:axId val="86774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67730175"/>
        <c:crosses val="autoZero"/>
        <c:auto val="1"/>
        <c:lblAlgn val="ctr"/>
        <c:lblOffset val="100"/>
        <c:noMultiLvlLbl val="0"/>
      </c:catAx>
      <c:valAx>
        <c:axId val="867730175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86774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 slides'!$C$195</c:f>
              <c:strCache>
                <c:ptCount val="1"/>
                <c:pt idx="0">
                  <c:v>FTP based on factual cost of funding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'for slides'!$B$196:$B$204</c:f>
              <c:strCache>
                <c:ptCount val="9"/>
                <c:pt idx="0">
                  <c:v>O/N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slides'!$C$196:$C$204</c:f>
              <c:numCache>
                <c:formatCode>0.0%</c:formatCode>
                <c:ptCount val="9"/>
                <c:pt idx="0">
                  <c:v>5.1999999999999998E-2</c:v>
                </c:pt>
                <c:pt idx="1">
                  <c:v>5.5E-2</c:v>
                </c:pt>
                <c:pt idx="2">
                  <c:v>5.8999999999999997E-2</c:v>
                </c:pt>
                <c:pt idx="3">
                  <c:v>6.3E-2</c:v>
                </c:pt>
                <c:pt idx="4">
                  <c:v>6.9000000000000006E-2</c:v>
                </c:pt>
                <c:pt idx="5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B-4017-BA61-80EA58191FB3}"/>
            </c:ext>
          </c:extLst>
        </c:ser>
        <c:ser>
          <c:idx val="1"/>
          <c:order val="1"/>
          <c:tx>
            <c:strRef>
              <c:f>'for slides'!$D$195</c:f>
              <c:strCache>
                <c:ptCount val="1"/>
                <c:pt idx="0">
                  <c:v>Interest rate swaps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'for slides'!$B$196:$B$204</c:f>
              <c:strCache>
                <c:ptCount val="9"/>
                <c:pt idx="0">
                  <c:v>O/N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slides'!$D$196:$D$204</c:f>
              <c:numCache>
                <c:formatCode>0.0%</c:formatCode>
                <c:ptCount val="9"/>
                <c:pt idx="0">
                  <c:v>4.2000000000000003E-2</c:v>
                </c:pt>
                <c:pt idx="1">
                  <c:v>4.4999999999999998E-2</c:v>
                </c:pt>
                <c:pt idx="2">
                  <c:v>4.8999999999999995E-2</c:v>
                </c:pt>
                <c:pt idx="3">
                  <c:v>5.2999999999999999E-2</c:v>
                </c:pt>
                <c:pt idx="4">
                  <c:v>5.9000000000000004E-2</c:v>
                </c:pt>
                <c:pt idx="5">
                  <c:v>6.6000000000000003E-2</c:v>
                </c:pt>
                <c:pt idx="6">
                  <c:v>7.5000000000000011E-2</c:v>
                </c:pt>
                <c:pt idx="7">
                  <c:v>7.9000000000000001E-2</c:v>
                </c:pt>
                <c:pt idx="8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B-4017-BA61-80EA58191FB3}"/>
            </c:ext>
          </c:extLst>
        </c:ser>
        <c:ser>
          <c:idx val="2"/>
          <c:order val="2"/>
          <c:tx>
            <c:strRef>
              <c:f>'for slides'!$E$195</c:f>
              <c:strCache>
                <c:ptCount val="1"/>
                <c:pt idx="0">
                  <c:v>FTP extrapolated based on IRS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'for slides'!$B$196:$B$204</c:f>
              <c:strCache>
                <c:ptCount val="9"/>
                <c:pt idx="0">
                  <c:v>O/N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slides'!$E$196:$E$204</c:f>
              <c:numCache>
                <c:formatCode>General</c:formatCode>
                <c:ptCount val="9"/>
                <c:pt idx="5" formatCode="0.0%">
                  <c:v>7.5999999999999998E-2</c:v>
                </c:pt>
                <c:pt idx="6" formatCode="0.0%">
                  <c:v>8.5000000000000006E-2</c:v>
                </c:pt>
                <c:pt idx="7" formatCode="0.0%">
                  <c:v>8.8999999999999996E-2</c:v>
                </c:pt>
                <c:pt idx="8" formatCode="0.0%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5B-4017-BA61-80EA58191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737679"/>
        <c:axId val="739728943"/>
      </c:lineChart>
      <c:catAx>
        <c:axId val="73973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39728943"/>
        <c:crosses val="autoZero"/>
        <c:auto val="1"/>
        <c:lblAlgn val="ctr"/>
        <c:lblOffset val="100"/>
        <c:noMultiLvlLbl val="0"/>
      </c:catAx>
      <c:valAx>
        <c:axId val="73972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3973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 slides'!$C$211</c:f>
              <c:strCache>
                <c:ptCount val="1"/>
                <c:pt idx="0">
                  <c:v>FTP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'for slides'!$B$212:$B$220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slides'!$C$212:$C$220</c:f>
              <c:numCache>
                <c:formatCode>0.0%</c:formatCode>
                <c:ptCount val="9"/>
                <c:pt idx="0">
                  <c:v>4.2000000000000003E-2</c:v>
                </c:pt>
                <c:pt idx="1">
                  <c:v>4.4999999999999998E-2</c:v>
                </c:pt>
                <c:pt idx="2">
                  <c:v>4.8999999999999995E-2</c:v>
                </c:pt>
                <c:pt idx="3">
                  <c:v>5.2999999999999999E-2</c:v>
                </c:pt>
                <c:pt idx="4">
                  <c:v>5.5E-2</c:v>
                </c:pt>
                <c:pt idx="5">
                  <c:v>6.0999999999999999E-2</c:v>
                </c:pt>
                <c:pt idx="6">
                  <c:v>6.5000000000000002E-2</c:v>
                </c:pt>
                <c:pt idx="7">
                  <c:v>6.9000000000000006E-2</c:v>
                </c:pt>
                <c:pt idx="8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F-448C-8185-FD8D23826B20}"/>
            </c:ext>
          </c:extLst>
        </c:ser>
        <c:ser>
          <c:idx val="1"/>
          <c:order val="1"/>
          <c:tx>
            <c:strRef>
              <c:f>'for slides'!$D$211</c:f>
              <c:strCache>
                <c:ptCount val="1"/>
                <c:pt idx="0">
                  <c:v>FTP adj on liquidity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'for slides'!$B$212:$B$220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slides'!$D$212:$D$220</c:f>
              <c:numCache>
                <c:formatCode>0.0%</c:formatCode>
                <c:ptCount val="9"/>
                <c:pt idx="0">
                  <c:v>3.5000000000000003E-2</c:v>
                </c:pt>
                <c:pt idx="1">
                  <c:v>3.9E-2</c:v>
                </c:pt>
                <c:pt idx="2">
                  <c:v>4.3999999999999997E-2</c:v>
                </c:pt>
                <c:pt idx="3">
                  <c:v>4.9000000000000002E-2</c:v>
                </c:pt>
                <c:pt idx="4">
                  <c:v>5.1999999999999998E-2</c:v>
                </c:pt>
                <c:pt idx="5">
                  <c:v>5.7999999999999996E-2</c:v>
                </c:pt>
                <c:pt idx="6">
                  <c:v>6.7000000000000004E-2</c:v>
                </c:pt>
                <c:pt idx="7">
                  <c:v>7.3000000000000009E-2</c:v>
                </c:pt>
                <c:pt idx="8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F-448C-8185-FD8D2382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744463"/>
        <c:axId val="864763183"/>
      </c:lineChart>
      <c:catAx>
        <c:axId val="86474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64763183"/>
        <c:crosses val="autoZero"/>
        <c:auto val="1"/>
        <c:lblAlgn val="ctr"/>
        <c:lblOffset val="100"/>
        <c:noMultiLvlLbl val="0"/>
      </c:catAx>
      <c:valAx>
        <c:axId val="864763183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6474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 slides'!$C$224</c:f>
              <c:strCache>
                <c:ptCount val="1"/>
                <c:pt idx="0">
                  <c:v>Liquidity gap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'for slides'!$B$225:$B$233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slides'!$C$225:$C$233</c:f>
              <c:numCache>
                <c:formatCode>_-* #,##0.0_-;\-* #,##0.0_-;_-* "-"??_-;_-@_-</c:formatCode>
                <c:ptCount val="9"/>
                <c:pt idx="0">
                  <c:v>-100</c:v>
                </c:pt>
                <c:pt idx="1">
                  <c:v>-300</c:v>
                </c:pt>
                <c:pt idx="2">
                  <c:v>-400</c:v>
                </c:pt>
                <c:pt idx="3">
                  <c:v>-200</c:v>
                </c:pt>
                <c:pt idx="4">
                  <c:v>-250</c:v>
                </c:pt>
                <c:pt idx="5">
                  <c:v>-150</c:v>
                </c:pt>
                <c:pt idx="6">
                  <c:v>350</c:v>
                </c:pt>
                <c:pt idx="7">
                  <c:v>450</c:v>
                </c:pt>
                <c:pt idx="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5-45A0-9255-DD9872569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6192287"/>
        <c:axId val="1456191871"/>
      </c:barChart>
      <c:catAx>
        <c:axId val="145619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56191871"/>
        <c:crosses val="autoZero"/>
        <c:auto val="1"/>
        <c:lblAlgn val="ctr"/>
        <c:lblOffset val="100"/>
        <c:noMultiLvlLbl val="0"/>
      </c:catAx>
      <c:valAx>
        <c:axId val="1456191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56192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'interest rate hedge'!$C$16</c:f>
              <c:strCache>
                <c:ptCount val="1"/>
                <c:pt idx="0">
                  <c:v>Interest rate gap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'interest rate hedge'!$D$6:$M$6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'interest rate hedge'!$D$16:$M$16</c:f>
              <c:numCache>
                <c:formatCode>_-* #,##0.0_-;\-* #,##0.0_-;_-* "-"??_-;_-@_-</c:formatCode>
                <c:ptCount val="10"/>
                <c:pt idx="0">
                  <c:v>162.89930086358669</c:v>
                </c:pt>
                <c:pt idx="1">
                  <c:v>-4669.9500339746828</c:v>
                </c:pt>
                <c:pt idx="2">
                  <c:v>505.97129168887943</c:v>
                </c:pt>
                <c:pt idx="3">
                  <c:v>519.48777192662067</c:v>
                </c:pt>
                <c:pt idx="4">
                  <c:v>533.51748242276403</c:v>
                </c:pt>
                <c:pt idx="5">
                  <c:v>-158.41678407502059</c:v>
                </c:pt>
                <c:pt idx="6">
                  <c:v>6106.4909711477931</c:v>
                </c:pt>
                <c:pt idx="7">
                  <c:v>1200</c:v>
                </c:pt>
                <c:pt idx="8">
                  <c:v>1800</c:v>
                </c:pt>
                <c:pt idx="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EC5-8FAA-7195DAFF3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4914976"/>
        <c:axId val="794896256"/>
      </c:barChart>
      <c:lineChart>
        <c:grouping val="standard"/>
        <c:varyColors val="0"/>
        <c:ser>
          <c:idx val="1"/>
          <c:order val="1"/>
          <c:tx>
            <c:strRef>
              <c:f>'interest rate hedge'!$C$17</c:f>
              <c:strCache>
                <c:ptCount val="1"/>
                <c:pt idx="0">
                  <c:v>Cumulutive interest rate gap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'interest rate hedge'!$D$6:$M$6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'interest rate hedge'!$D$17:$M$17</c:f>
              <c:numCache>
                <c:formatCode>_-* #,##0.0_-;\-* #,##0.0_-;_-* "-"??_-;_-@_-</c:formatCode>
                <c:ptCount val="10"/>
                <c:pt idx="0">
                  <c:v>162.89930086358669</c:v>
                </c:pt>
                <c:pt idx="1">
                  <c:v>-4507.0507331110957</c:v>
                </c:pt>
                <c:pt idx="2">
                  <c:v>-4001.0794414222164</c:v>
                </c:pt>
                <c:pt idx="3">
                  <c:v>-3481.5916694955959</c:v>
                </c:pt>
                <c:pt idx="4">
                  <c:v>-2948.0741870728316</c:v>
                </c:pt>
                <c:pt idx="5">
                  <c:v>-3106.4909711478522</c:v>
                </c:pt>
                <c:pt idx="6">
                  <c:v>2999.9999999999409</c:v>
                </c:pt>
                <c:pt idx="7">
                  <c:v>4199.9999999999409</c:v>
                </c:pt>
                <c:pt idx="8">
                  <c:v>5999.9999999999409</c:v>
                </c:pt>
                <c:pt idx="9">
                  <c:v>-5.9117155615240335E-11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EC5-8FAA-7195DAFF3E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4914976"/>
        <c:axId val="794896256"/>
      </c:lineChart>
      <c:catAx>
        <c:axId val="79491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94896256"/>
        <c:crosses val="autoZero"/>
        <c:auto val="1"/>
        <c:lblAlgn val="ctr"/>
        <c:lblOffset val="100"/>
        <c:noMultiLvlLbl val="0"/>
      </c:catAx>
      <c:valAx>
        <c:axId val="794896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crossAx val="79491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34705621956618E-2"/>
          <c:y val="4.6296296296296294E-2"/>
          <c:w val="0.95130588756086765"/>
          <c:h val="0.7922448235637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'interest rate hedge'!$C$62</c:f>
              <c:strCache>
                <c:ptCount val="1"/>
                <c:pt idx="0">
                  <c:v>Interest rate gap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55555555555555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B6-4359-BB33-AC11596E8DAC}"/>
                </c:ext>
              </c:extLst>
            </c:dLbl>
            <c:dLbl>
              <c:idx val="5"/>
              <c:layout>
                <c:manualLayout>
                  <c:x val="-2.2133687472333701E-3"/>
                  <c:y val="-4.62959317585300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B6-4359-BB33-AC11596E8D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'interest rate hedge'!$D$6:$M$6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'interest rate hedge'!$D$62:$M$62</c:f>
              <c:numCache>
                <c:formatCode>_-* #,##0.0_-;\-* #,##0.0_-;_-* "-"??_-;_-@_-</c:formatCode>
                <c:ptCount val="10"/>
                <c:pt idx="0">
                  <c:v>162.89930086358669</c:v>
                </c:pt>
                <c:pt idx="1">
                  <c:v>-669.95003397468281</c:v>
                </c:pt>
                <c:pt idx="2">
                  <c:v>505.97129168887943</c:v>
                </c:pt>
                <c:pt idx="3">
                  <c:v>519.48777192662067</c:v>
                </c:pt>
                <c:pt idx="4">
                  <c:v>533.51748242276403</c:v>
                </c:pt>
                <c:pt idx="5">
                  <c:v>-158.41678407502059</c:v>
                </c:pt>
                <c:pt idx="6">
                  <c:v>2106.4909711477931</c:v>
                </c:pt>
                <c:pt idx="7">
                  <c:v>1200</c:v>
                </c:pt>
                <c:pt idx="8">
                  <c:v>1800</c:v>
                </c:pt>
                <c:pt idx="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6-4359-BB33-AC11596E8D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4914976"/>
        <c:axId val="794896256"/>
      </c:barChart>
      <c:lineChart>
        <c:grouping val="standard"/>
        <c:varyColors val="0"/>
        <c:ser>
          <c:idx val="1"/>
          <c:order val="1"/>
          <c:tx>
            <c:strRef>
              <c:f>'interest rate hedge'!$C$63</c:f>
              <c:strCache>
                <c:ptCount val="1"/>
                <c:pt idx="0">
                  <c:v>Cumulutive interest rate gap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'interest rate hedge'!$D$6:$M$6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'interest rate hedge'!$D$63:$M$63</c:f>
              <c:numCache>
                <c:formatCode>_-* #,##0.0_-;\-* #,##0.0_-;_-* "-"??_-;_-@_-</c:formatCode>
                <c:ptCount val="10"/>
                <c:pt idx="0">
                  <c:v>162.89930086358669</c:v>
                </c:pt>
                <c:pt idx="1">
                  <c:v>-507.05073311109612</c:v>
                </c:pt>
                <c:pt idx="2">
                  <c:v>-1.0794414222166893</c:v>
                </c:pt>
                <c:pt idx="3">
                  <c:v>518.40833050440392</c:v>
                </c:pt>
                <c:pt idx="4">
                  <c:v>1051.925812927168</c:v>
                </c:pt>
                <c:pt idx="5">
                  <c:v>893.50902885214737</c:v>
                </c:pt>
                <c:pt idx="6">
                  <c:v>2999.9999999999404</c:v>
                </c:pt>
                <c:pt idx="7">
                  <c:v>4199.99999999994</c:v>
                </c:pt>
                <c:pt idx="8">
                  <c:v>5999.99999999994</c:v>
                </c:pt>
                <c:pt idx="9">
                  <c:v>-6.0026650317013264E-11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6-4359-BB33-AC11596E8D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4914976"/>
        <c:axId val="794896256"/>
      </c:lineChart>
      <c:catAx>
        <c:axId val="79491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94896256"/>
        <c:crosses val="autoZero"/>
        <c:auto val="1"/>
        <c:lblAlgn val="ctr"/>
        <c:lblOffset val="100"/>
        <c:noMultiLvlLbl val="0"/>
      </c:catAx>
      <c:valAx>
        <c:axId val="794896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crossAx val="79491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6901584129592E-2"/>
          <c:y val="3.8737437445647276E-2"/>
          <c:w val="0.91466381011562481"/>
          <c:h val="0.806850324370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'IR gap and ∆NII - detailed calc'!$C$80</c:f>
              <c:strCache>
                <c:ptCount val="1"/>
                <c:pt idx="0">
                  <c:v>Interest rate gap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9.3298319139784754E-17"/>
                  <c:y val="9.8995673472209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35-418D-9E72-5306FAEDCC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'IR gap and ∆NII - detailed calc'!$D$70:$M$70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'IR gap and ∆NII - detailed calc'!$D$80:$M$80</c:f>
              <c:numCache>
                <c:formatCode>_-* #,##0.0_-;\-* #,##0.0_-;_-* "-"??_-;_-@_-</c:formatCode>
                <c:ptCount val="10"/>
                <c:pt idx="0">
                  <c:v>162.89930086358669</c:v>
                </c:pt>
                <c:pt idx="1">
                  <c:v>-4669.9500339746828</c:v>
                </c:pt>
                <c:pt idx="2">
                  <c:v>505.97129168887943</c:v>
                </c:pt>
                <c:pt idx="3">
                  <c:v>519.48777192662067</c:v>
                </c:pt>
                <c:pt idx="4">
                  <c:v>533.51748242276403</c:v>
                </c:pt>
                <c:pt idx="5">
                  <c:v>-158.41678407502059</c:v>
                </c:pt>
                <c:pt idx="6">
                  <c:v>6106.4909711477931</c:v>
                </c:pt>
                <c:pt idx="7">
                  <c:v>1200</c:v>
                </c:pt>
                <c:pt idx="8">
                  <c:v>1800</c:v>
                </c:pt>
                <c:pt idx="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5-418D-9E72-5306FAEDC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800768"/>
        <c:axId val="1589791200"/>
      </c:barChart>
      <c:lineChart>
        <c:grouping val="standard"/>
        <c:varyColors val="0"/>
        <c:ser>
          <c:idx val="1"/>
          <c:order val="1"/>
          <c:tx>
            <c:strRef>
              <c:f>'IR gap and ∆NII - detailed calc'!$C$81</c:f>
              <c:strCache>
                <c:ptCount val="1"/>
                <c:pt idx="0">
                  <c:v>Cumulutive interest rate gap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'IR gap and ∆NII - detailed calc'!$D$70:$M$70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'IR gap and ∆NII - detailed calc'!$D$81:$M$81</c:f>
              <c:numCache>
                <c:formatCode>_-* #,##0.0_-;\-* #,##0.0_-;_-* "-"??_-;_-@_-</c:formatCode>
                <c:ptCount val="10"/>
                <c:pt idx="0">
                  <c:v>162.89930086358669</c:v>
                </c:pt>
                <c:pt idx="1">
                  <c:v>-4507.0507331110957</c:v>
                </c:pt>
                <c:pt idx="2">
                  <c:v>-4001.0794414222164</c:v>
                </c:pt>
                <c:pt idx="3">
                  <c:v>-3481.5916694955959</c:v>
                </c:pt>
                <c:pt idx="4">
                  <c:v>-2948.0741870728316</c:v>
                </c:pt>
                <c:pt idx="5">
                  <c:v>-3106.4909711478522</c:v>
                </c:pt>
                <c:pt idx="6">
                  <c:v>2999.9999999999409</c:v>
                </c:pt>
                <c:pt idx="7">
                  <c:v>4199.9999999999409</c:v>
                </c:pt>
                <c:pt idx="8">
                  <c:v>5999.9999999999409</c:v>
                </c:pt>
                <c:pt idx="9">
                  <c:v>-5.9117155615240335E-11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35-418D-9E72-5306FAEDC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800768"/>
        <c:axId val="1589791200"/>
      </c:lineChart>
      <c:catAx>
        <c:axId val="158980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NL"/>
          </a:p>
        </c:txPr>
        <c:crossAx val="1589791200"/>
        <c:crosses val="autoZero"/>
        <c:auto val="1"/>
        <c:lblAlgn val="ctr"/>
        <c:lblOffset val="100"/>
        <c:noMultiLvlLbl val="0"/>
      </c:catAx>
      <c:valAx>
        <c:axId val="15897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NL"/>
          </a:p>
        </c:txPr>
        <c:crossAx val="158980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'for slides'!$C$15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 slides'!$D$4:$M$4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'for slides'!$D$15:$M$15</c:f>
              <c:numCache>
                <c:formatCode>_-* #,##0.0_-;\-* #,##0.0_-;_-* "-"??_-;_-@_-</c:formatCode>
                <c:ptCount val="10"/>
                <c:pt idx="0">
                  <c:v>162.89930086358669</c:v>
                </c:pt>
                <c:pt idx="1">
                  <c:v>10330.049966025317</c:v>
                </c:pt>
                <c:pt idx="2">
                  <c:v>505.97129168887943</c:v>
                </c:pt>
                <c:pt idx="3">
                  <c:v>519.48777192662067</c:v>
                </c:pt>
                <c:pt idx="4">
                  <c:v>533.51748242276403</c:v>
                </c:pt>
                <c:pt idx="5">
                  <c:v>4841.5832159249794</c:v>
                </c:pt>
                <c:pt idx="6">
                  <c:v>6106.4909711477931</c:v>
                </c:pt>
                <c:pt idx="7">
                  <c:v>1200</c:v>
                </c:pt>
                <c:pt idx="8">
                  <c:v>1800</c:v>
                </c:pt>
                <c:pt idx="9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8-4885-886E-41BB6DE3DA9A}"/>
            </c:ext>
          </c:extLst>
        </c:ser>
        <c:ser>
          <c:idx val="1"/>
          <c:order val="1"/>
          <c:tx>
            <c:strRef>
              <c:f>'for slides'!$C$16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58-4885-886E-41BB6DE3DA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58-4885-886E-41BB6DE3DA9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58-4885-886E-41BB6DE3DA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58-4885-886E-41BB6DE3DA9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58-4885-886E-41BB6DE3DA9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58-4885-886E-41BB6DE3DA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 slides'!$D$4:$M$4</c:f>
              <c:strCache>
                <c:ptCount val="10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  <c:pt idx="9">
                  <c:v>not sensitive</c:v>
                </c:pt>
              </c:strCache>
            </c:strRef>
          </c:cat>
          <c:val>
            <c:numRef>
              <c:f>'for slides'!$D$16:$M$16</c:f>
              <c:numCache>
                <c:formatCode>_-* #,##0.0_-;\-* #,##0.0_-;_-* "-"??_-;_-@_-</c:formatCode>
                <c:ptCount val="10"/>
                <c:pt idx="0">
                  <c:v>0</c:v>
                </c:pt>
                <c:pt idx="1">
                  <c:v>-15000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-5000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58-4885-886E-41BB6DE3DA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43042320"/>
        <c:axId val="543043152"/>
      </c:barChart>
      <c:catAx>
        <c:axId val="54304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43043152"/>
        <c:crosses val="autoZero"/>
        <c:auto val="1"/>
        <c:lblAlgn val="ctr"/>
        <c:lblOffset val="100"/>
        <c:noMultiLvlLbl val="0"/>
      </c:catAx>
      <c:valAx>
        <c:axId val="5430431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crossAx val="54304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Define</a:t>
            </a:r>
            <a:r>
              <a:rPr lang="en-GB" baseline="0"/>
              <a:t> the scenario of interest rate changes</a:t>
            </a:r>
            <a:endParaRPr lang="en-GB"/>
          </a:p>
        </c:rich>
      </c:tx>
      <c:layout>
        <c:manualLayout>
          <c:xMode val="edge"/>
          <c:yMode val="edge"/>
          <c:x val="0.4067152230971128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 slides'!$D$45</c:f>
              <c:strCache>
                <c:ptCount val="1"/>
                <c:pt idx="0">
                  <c:v>Current interest rates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 slides'!$C$46:$C$54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slides'!$D$46:$D$54</c:f>
              <c:numCache>
                <c:formatCode>0.00%</c:formatCode>
                <c:ptCount val="9"/>
                <c:pt idx="0">
                  <c:v>5.1999999999999998E-2</c:v>
                </c:pt>
                <c:pt idx="1">
                  <c:v>5.3499999999999999E-2</c:v>
                </c:pt>
                <c:pt idx="2">
                  <c:v>5.5E-2</c:v>
                </c:pt>
                <c:pt idx="3">
                  <c:v>5.5899999999999998E-2</c:v>
                </c:pt>
                <c:pt idx="4">
                  <c:v>5.6500000000000002E-2</c:v>
                </c:pt>
                <c:pt idx="5">
                  <c:v>5.8999999999999997E-2</c:v>
                </c:pt>
                <c:pt idx="6">
                  <c:v>6.1499999999999999E-2</c:v>
                </c:pt>
                <c:pt idx="7">
                  <c:v>6.4000000000000001E-2</c:v>
                </c:pt>
                <c:pt idx="8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F2-4439-ABEC-BFBAFCD1273D}"/>
            </c:ext>
          </c:extLst>
        </c:ser>
        <c:ser>
          <c:idx val="1"/>
          <c:order val="1"/>
          <c:tx>
            <c:strRef>
              <c:f>'for slides'!$E$45</c:f>
              <c:strCache>
                <c:ptCount val="1"/>
                <c:pt idx="0">
                  <c:v>Projected interest rates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 slides'!$C$46:$C$54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slides'!$E$46:$E$54</c:f>
              <c:numCache>
                <c:formatCode>0.00%</c:formatCode>
                <c:ptCount val="9"/>
                <c:pt idx="0">
                  <c:v>6.0299999999999999E-2</c:v>
                </c:pt>
                <c:pt idx="1">
                  <c:v>6.1100000000000002E-2</c:v>
                </c:pt>
                <c:pt idx="2">
                  <c:v>6.1900000000000004E-2</c:v>
                </c:pt>
                <c:pt idx="3">
                  <c:v>6.2100000000000002E-2</c:v>
                </c:pt>
                <c:pt idx="4">
                  <c:v>6.2E-2</c:v>
                </c:pt>
                <c:pt idx="5">
                  <c:v>6.3800000000000009E-2</c:v>
                </c:pt>
                <c:pt idx="6">
                  <c:v>6.5600000000000006E-2</c:v>
                </c:pt>
                <c:pt idx="7">
                  <c:v>6.7400000000000015E-2</c:v>
                </c:pt>
                <c:pt idx="8">
                  <c:v>7.1700000000000014E-2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F2-4439-ABEC-BFBAFCD1273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719792"/>
        <c:axId val="82720208"/>
      </c:lineChart>
      <c:catAx>
        <c:axId val="827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2720208"/>
        <c:crosses val="autoZero"/>
        <c:auto val="1"/>
        <c:lblAlgn val="ctr"/>
        <c:lblOffset val="100"/>
        <c:noMultiLvlLbl val="0"/>
      </c:catAx>
      <c:valAx>
        <c:axId val="82720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827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 slides'!$D$58</c:f>
              <c:strCache>
                <c:ptCount val="1"/>
                <c:pt idx="0">
                  <c:v>Assets avg. Int.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'for slides'!$C$59:$C$68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'for slides'!$D$59:$D$68</c:f>
              <c:numCache>
                <c:formatCode>0.0%</c:formatCode>
                <c:ptCount val="10"/>
                <c:pt idx="0">
                  <c:v>0.06</c:v>
                </c:pt>
                <c:pt idx="1">
                  <c:v>0.06</c:v>
                </c:pt>
                <c:pt idx="2">
                  <c:v>6.3E-2</c:v>
                </c:pt>
                <c:pt idx="3">
                  <c:v>6.6000000000000003E-2</c:v>
                </c:pt>
                <c:pt idx="4">
                  <c:v>6.9000000000000006E-2</c:v>
                </c:pt>
                <c:pt idx="5">
                  <c:v>7.2000000000000008E-2</c:v>
                </c:pt>
                <c:pt idx="6">
                  <c:v>7.5000000000000011E-2</c:v>
                </c:pt>
                <c:pt idx="7">
                  <c:v>7.8000000000000014E-2</c:v>
                </c:pt>
                <c:pt idx="8">
                  <c:v>8.1000000000000016E-2</c:v>
                </c:pt>
                <c:pt idx="9">
                  <c:v>8.4000000000000019E-2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9-4F21-96D3-7DAA0E94BCA5}"/>
            </c:ext>
          </c:extLst>
        </c:ser>
        <c:ser>
          <c:idx val="1"/>
          <c:order val="1"/>
          <c:tx>
            <c:strRef>
              <c:f>'for slides'!$E$58</c:f>
              <c:strCache>
                <c:ptCount val="1"/>
                <c:pt idx="0">
                  <c:v>Liabilities avg. Int.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'for slides'!$C$59:$C$68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'for slides'!$E$59:$E$68</c:f>
              <c:numCache>
                <c:formatCode>0.0%</c:formatCode>
                <c:ptCount val="10"/>
                <c:pt idx="0">
                  <c:v>0.03</c:v>
                </c:pt>
                <c:pt idx="1">
                  <c:v>0.03</c:v>
                </c:pt>
                <c:pt idx="2">
                  <c:v>4.1999999999999996E-2</c:v>
                </c:pt>
                <c:pt idx="3">
                  <c:v>5.3999999999999992E-2</c:v>
                </c:pt>
                <c:pt idx="4">
                  <c:v>6.5999999999999989E-2</c:v>
                </c:pt>
                <c:pt idx="5">
                  <c:v>7.7999999999999986E-2</c:v>
                </c:pt>
                <c:pt idx="6">
                  <c:v>7.7999999999999986E-2</c:v>
                </c:pt>
                <c:pt idx="7">
                  <c:v>7.7999999999999986E-2</c:v>
                </c:pt>
                <c:pt idx="8">
                  <c:v>7.7999999999999986E-2</c:v>
                </c:pt>
                <c:pt idx="9">
                  <c:v>7.7999999999999986E-2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9-4F21-96D3-7DAA0E94B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309887"/>
        <c:axId val="785303647"/>
      </c:lineChart>
      <c:catAx>
        <c:axId val="785309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85303647"/>
        <c:crosses val="autoZero"/>
        <c:auto val="1"/>
        <c:lblAlgn val="ctr"/>
        <c:lblOffset val="100"/>
        <c:noMultiLvlLbl val="0"/>
      </c:catAx>
      <c:valAx>
        <c:axId val="785303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8530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 slides'!$D$105</c:f>
              <c:strCache>
                <c:ptCount val="1"/>
                <c:pt idx="0">
                  <c:v>FTP rates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3-4237-9189-9B725B437F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A3-4237-9189-9B725B437F4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A3-4237-9189-9B725B437F4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3-4237-9189-9B725B437F4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3-4237-9189-9B725B437F4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3-4237-9189-9B725B437F4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3-4237-9189-9B725B437F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 slides'!$C$106:$C$114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slides'!$D$106:$D$114</c:f>
              <c:numCache>
                <c:formatCode>0.0%</c:formatCode>
                <c:ptCount val="9"/>
                <c:pt idx="0">
                  <c:v>5.1999999999999998E-2</c:v>
                </c:pt>
                <c:pt idx="1">
                  <c:v>5.5E-2</c:v>
                </c:pt>
                <c:pt idx="2">
                  <c:v>5.8999999999999997E-2</c:v>
                </c:pt>
                <c:pt idx="3">
                  <c:v>6.3E-2</c:v>
                </c:pt>
                <c:pt idx="4">
                  <c:v>6.9000000000000006E-2</c:v>
                </c:pt>
                <c:pt idx="5">
                  <c:v>7.5999999999999998E-2</c:v>
                </c:pt>
                <c:pt idx="6">
                  <c:v>8.5000000000000006E-2</c:v>
                </c:pt>
                <c:pt idx="7">
                  <c:v>9.0999999999999998E-2</c:v>
                </c:pt>
                <c:pt idx="8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3-4237-9189-9B725B437F4F}"/>
            </c:ext>
          </c:extLst>
        </c:ser>
        <c:ser>
          <c:idx val="1"/>
          <c:order val="1"/>
          <c:tx>
            <c:strRef>
              <c:f>'for slides'!$E$105</c:f>
              <c:strCache>
                <c:ptCount val="1"/>
                <c:pt idx="0">
                  <c:v>Deposit contract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 slides'!$C$106:$C$114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slides'!$E$106:$E$114</c:f>
              <c:numCache>
                <c:formatCode>General</c:formatCode>
                <c:ptCount val="9"/>
                <c:pt idx="0" formatCode="0%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A3-4237-9189-9B725B437F4F}"/>
            </c:ext>
          </c:extLst>
        </c:ser>
        <c:ser>
          <c:idx val="2"/>
          <c:order val="2"/>
          <c:tx>
            <c:strRef>
              <c:f>'for slides'!$F$105</c:f>
              <c:strCache>
                <c:ptCount val="1"/>
                <c:pt idx="0">
                  <c:v>Loan contract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 slides'!$C$106:$C$114</c:f>
              <c:strCache>
                <c:ptCount val="9"/>
                <c:pt idx="0">
                  <c:v>up to 1m</c:v>
                </c:pt>
                <c:pt idx="1">
                  <c:v>1-3 m</c:v>
                </c:pt>
                <c:pt idx="2">
                  <c:v>3-6 m</c:v>
                </c:pt>
                <c:pt idx="3">
                  <c:v>6-9 m</c:v>
                </c:pt>
                <c:pt idx="4">
                  <c:v>9-12 m</c:v>
                </c:pt>
                <c:pt idx="5">
                  <c:v>1-3 y</c:v>
                </c:pt>
                <c:pt idx="6">
                  <c:v>3-5 y</c:v>
                </c:pt>
                <c:pt idx="7">
                  <c:v>5-7 y</c:v>
                </c:pt>
                <c:pt idx="8">
                  <c:v>7-10 y</c:v>
                </c:pt>
              </c:strCache>
            </c:strRef>
          </c:cat>
          <c:val>
            <c:numRef>
              <c:f>'for slides'!$F$106:$F$114</c:f>
              <c:numCache>
                <c:formatCode>General</c:formatCode>
                <c:ptCount val="9"/>
                <c:pt idx="4" formatCode="0%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A3-4237-9189-9B725B437F4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49685759"/>
        <c:axId val="1249686175"/>
      </c:lineChart>
      <c:catAx>
        <c:axId val="124968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49686175"/>
        <c:crosses val="autoZero"/>
        <c:auto val="1"/>
        <c:lblAlgn val="ctr"/>
        <c:lblOffset val="100"/>
        <c:noMultiLvlLbl val="0"/>
      </c:catAx>
      <c:valAx>
        <c:axId val="1249686175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24968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 slides'!$C$128</c:f>
              <c:strCache>
                <c:ptCount val="1"/>
                <c:pt idx="0">
                  <c:v>Loans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'for slides'!$B$129:$B$139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'for slides'!$C$129:$C$139</c:f>
              <c:numCache>
                <c:formatCode>_-* #,##0.0_-;\-* #,##0.0_-;_-* "-"??_-;_-@_-</c:formatCode>
                <c:ptCount val="11"/>
                <c:pt idx="0">
                  <c:v>7</c:v>
                </c:pt>
                <c:pt idx="1">
                  <c:v>7.1</c:v>
                </c:pt>
                <c:pt idx="2">
                  <c:v>7.1999999999999993</c:v>
                </c:pt>
                <c:pt idx="3">
                  <c:v>7.2999999999999989</c:v>
                </c:pt>
                <c:pt idx="4">
                  <c:v>7.3999999999999986</c:v>
                </c:pt>
                <c:pt idx="5">
                  <c:v>7.4999999999999982</c:v>
                </c:pt>
                <c:pt idx="6">
                  <c:v>7.5999999999999979</c:v>
                </c:pt>
                <c:pt idx="7">
                  <c:v>7.6999999999999975</c:v>
                </c:pt>
                <c:pt idx="8">
                  <c:v>7.7999999999999972</c:v>
                </c:pt>
                <c:pt idx="9">
                  <c:v>7.8999999999999968</c:v>
                </c:pt>
                <c:pt idx="10">
                  <c:v>7.9999999999999964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3-464C-8809-DC7DADB577DC}"/>
            </c:ext>
          </c:extLst>
        </c:ser>
        <c:ser>
          <c:idx val="1"/>
          <c:order val="1"/>
          <c:tx>
            <c:strRef>
              <c:f>'for slides'!$D$128</c:f>
              <c:strCache>
                <c:ptCount val="1"/>
                <c:pt idx="0">
                  <c:v>Deposits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'for slides'!$B$129:$B$139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'for slides'!$D$129:$D$139</c:f>
              <c:numCache>
                <c:formatCode>_-* #,##0.0_-;\-* #,##0.0_-;_-* "-"??_-;_-@_-</c:formatCode>
                <c:ptCount val="11"/>
                <c:pt idx="0">
                  <c:v>4</c:v>
                </c:pt>
                <c:pt idx="1">
                  <c:v>4.2</c:v>
                </c:pt>
                <c:pt idx="2">
                  <c:v>4.4000000000000004</c:v>
                </c:pt>
                <c:pt idx="3">
                  <c:v>4.6000000000000005</c:v>
                </c:pt>
                <c:pt idx="4">
                  <c:v>4.8000000000000007</c:v>
                </c:pt>
                <c:pt idx="5">
                  <c:v>5.0000000000000009</c:v>
                </c:pt>
                <c:pt idx="6">
                  <c:v>5.2000000000000011</c:v>
                </c:pt>
                <c:pt idx="7">
                  <c:v>5.4000000000000012</c:v>
                </c:pt>
                <c:pt idx="8">
                  <c:v>5.6000000000000014</c:v>
                </c:pt>
                <c:pt idx="9">
                  <c:v>5.8000000000000016</c:v>
                </c:pt>
                <c:pt idx="10">
                  <c:v>6.0000000000000018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3-464C-8809-DC7DADB577DC}"/>
            </c:ext>
          </c:extLst>
        </c:ser>
        <c:ser>
          <c:idx val="2"/>
          <c:order val="2"/>
          <c:tx>
            <c:strRef>
              <c:f>'for slides'!$E$128</c:f>
              <c:strCache>
                <c:ptCount val="1"/>
                <c:pt idx="0">
                  <c:v>FTP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'for slides'!$B$129:$B$139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'for slides'!$E$129:$E$139</c:f>
              <c:numCache>
                <c:formatCode>_-* #,##0.0_-;\-* #,##0.0_-;_-* "-"??_-;_-@_-</c:formatCode>
                <c:ptCount val="11"/>
                <c:pt idx="0">
                  <c:v>5.5</c:v>
                </c:pt>
                <c:pt idx="1">
                  <c:v>5.65</c:v>
                </c:pt>
                <c:pt idx="2">
                  <c:v>5.8</c:v>
                </c:pt>
                <c:pt idx="3">
                  <c:v>5.9499999999999993</c:v>
                </c:pt>
                <c:pt idx="4">
                  <c:v>6.1</c:v>
                </c:pt>
                <c:pt idx="5">
                  <c:v>6.25</c:v>
                </c:pt>
                <c:pt idx="6">
                  <c:v>6.3999999999999995</c:v>
                </c:pt>
                <c:pt idx="7">
                  <c:v>6.5499999999999989</c:v>
                </c:pt>
                <c:pt idx="8">
                  <c:v>6.6999999999999993</c:v>
                </c:pt>
                <c:pt idx="9">
                  <c:v>6.85</c:v>
                </c:pt>
                <c:pt idx="10">
                  <c:v>6.9999999999999991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3-464C-8809-DC7DADB577DC}"/>
            </c:ext>
          </c:extLst>
        </c:ser>
        <c:ser>
          <c:idx val="3"/>
          <c:order val="3"/>
          <c:tx>
            <c:strRef>
              <c:f>'for slides'!$F$128</c:f>
              <c:strCache>
                <c:ptCount val="1"/>
                <c:pt idx="0">
                  <c:v>Deposits on market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'for slides'!$B$129:$B$139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'for slides'!$F$129:$F$139</c:f>
              <c:numCache>
                <c:formatCode>_-* #,##0.0_-;\-* #,##0.0_-;_-* "-"??_-;_-@_-</c:formatCode>
                <c:ptCount val="11"/>
                <c:pt idx="0">
                  <c:v>3.59</c:v>
                </c:pt>
                <c:pt idx="1">
                  <c:v>3.9000000000000004</c:v>
                </c:pt>
                <c:pt idx="2">
                  <c:v>3.95</c:v>
                </c:pt>
                <c:pt idx="3">
                  <c:v>4.2300000000000004</c:v>
                </c:pt>
                <c:pt idx="4">
                  <c:v>4.4200000000000008</c:v>
                </c:pt>
                <c:pt idx="5">
                  <c:v>4.5400000000000009</c:v>
                </c:pt>
                <c:pt idx="6">
                  <c:v>4.7200000000000006</c:v>
                </c:pt>
                <c:pt idx="7">
                  <c:v>5.0300000000000011</c:v>
                </c:pt>
                <c:pt idx="8">
                  <c:v>5.160000000000001</c:v>
                </c:pt>
                <c:pt idx="9">
                  <c:v>5.450000000000002</c:v>
                </c:pt>
                <c:pt idx="1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B3-464C-8809-DC7DADB57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188543"/>
        <c:axId val="1456196863"/>
      </c:lineChart>
      <c:catAx>
        <c:axId val="145618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56196863"/>
        <c:crosses val="autoZero"/>
        <c:auto val="1"/>
        <c:lblAlgn val="ctr"/>
        <c:lblOffset val="100"/>
        <c:noMultiLvlLbl val="0"/>
      </c:catAx>
      <c:valAx>
        <c:axId val="1456196863"/>
        <c:scaling>
          <c:orientation val="minMax"/>
          <c:max val="13.5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56188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83</xdr:row>
      <xdr:rowOff>80433</xdr:rowOff>
    </xdr:from>
    <xdr:to>
      <xdr:col>10</xdr:col>
      <xdr:colOff>8467</xdr:colOff>
      <xdr:row>106</xdr:row>
      <xdr:rowOff>110067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493072-E3AB-916C-A2CF-D9487384C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29</xdr:col>
      <xdr:colOff>140018</xdr:colOff>
      <xdr:row>147</xdr:row>
      <xdr:rowOff>61915</xdr:rowOff>
    </xdr:from>
    <xdr:to>
      <xdr:col>37</xdr:col>
      <xdr:colOff>254318</xdr:colOff>
      <xdr:row>170</xdr:row>
      <xdr:rowOff>38138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B08014-13A9-4F85-B822-0236B82C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47693" y="21369340"/>
          <a:ext cx="4991100" cy="351952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147</xdr:row>
      <xdr:rowOff>0</xdr:rowOff>
    </xdr:from>
    <xdr:to>
      <xdr:col>29</xdr:col>
      <xdr:colOff>184524</xdr:colOff>
      <xdr:row>174</xdr:row>
      <xdr:rowOff>6925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C6DE0E-BF36-4B92-BB52-13607459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21275" y="21307425"/>
          <a:ext cx="5670924" cy="4083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15492</xdr:colOff>
      <xdr:row>23</xdr:row>
      <xdr:rowOff>95249</xdr:rowOff>
    </xdr:from>
    <xdr:to>
      <xdr:col>33</xdr:col>
      <xdr:colOff>437183</xdr:colOff>
      <xdr:row>52</xdr:row>
      <xdr:rowOff>132648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45B1B6-0509-4EC1-8E51-617D6E43F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60392" y="2762249"/>
          <a:ext cx="5908091" cy="4285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17</xdr:row>
      <xdr:rowOff>68580</xdr:rowOff>
    </xdr:from>
    <xdr:to>
      <xdr:col>9</xdr:col>
      <xdr:colOff>99060</xdr:colOff>
      <xdr:row>38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A72080-4A4A-266D-A135-ECD5E1BFB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</xdr:colOff>
      <xdr:row>69</xdr:row>
      <xdr:rowOff>30480</xdr:rowOff>
    </xdr:from>
    <xdr:to>
      <xdr:col>10</xdr:col>
      <xdr:colOff>76200</xdr:colOff>
      <xdr:row>90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77DF82-B2FB-4D0B-8779-BCEA943C8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213361</xdr:colOff>
      <xdr:row>18</xdr:row>
      <xdr:rowOff>144780</xdr:rowOff>
    </xdr:from>
    <xdr:to>
      <xdr:col>21</xdr:col>
      <xdr:colOff>198967</xdr:colOff>
      <xdr:row>40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2E7895-C2CC-4F97-8797-1EDFDB6BA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167640</xdr:colOff>
      <xdr:row>18</xdr:row>
      <xdr:rowOff>137160</xdr:rowOff>
    </xdr:from>
    <xdr:to>
      <xdr:col>11</xdr:col>
      <xdr:colOff>60960</xdr:colOff>
      <xdr:row>40</xdr:row>
      <xdr:rowOff>83820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4ACF02-C0D9-4956-8284-1CE9DD6E2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571500</xdr:colOff>
      <xdr:row>43</xdr:row>
      <xdr:rowOff>45720</xdr:rowOff>
    </xdr:from>
    <xdr:to>
      <xdr:col>13</xdr:col>
      <xdr:colOff>83820</xdr:colOff>
      <xdr:row>53</xdr:row>
      <xdr:rowOff>175260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1CFC757-5727-5D67-8831-9EC4CE6B6F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57</xdr:row>
      <xdr:rowOff>11430</xdr:rowOff>
    </xdr:from>
    <xdr:to>
      <xdr:col>14</xdr:col>
      <xdr:colOff>358140</xdr:colOff>
      <xdr:row>78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50B40-7C97-475C-93CC-E7F2AD0C6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259080</xdr:colOff>
      <xdr:row>104</xdr:row>
      <xdr:rowOff>15240</xdr:rowOff>
    </xdr:from>
    <xdr:to>
      <xdr:col>15</xdr:col>
      <xdr:colOff>601980</xdr:colOff>
      <xdr:row>122</xdr:row>
      <xdr:rowOff>110490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A8818E-71FE-43C6-9D03-22D974473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228600</xdr:colOff>
      <xdr:row>118</xdr:row>
      <xdr:rowOff>72390</xdr:rowOff>
    </xdr:from>
    <xdr:to>
      <xdr:col>14</xdr:col>
      <xdr:colOff>533400</xdr:colOff>
      <xdr:row>141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49F503D-81C8-555B-F390-7EC8E6D1A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53340</xdr:colOff>
      <xdr:row>144</xdr:row>
      <xdr:rowOff>3810</xdr:rowOff>
    </xdr:from>
    <xdr:to>
      <xdr:col>15</xdr:col>
      <xdr:colOff>251460</xdr:colOff>
      <xdr:row>167</xdr:row>
      <xdr:rowOff>53340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B8C3C90-E4E7-5104-1963-E01B545F4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281940</xdr:colOff>
      <xdr:row>170</xdr:row>
      <xdr:rowOff>38100</xdr:rowOff>
    </xdr:from>
    <xdr:to>
      <xdr:col>14</xdr:col>
      <xdr:colOff>297180</xdr:colOff>
      <xdr:row>189</xdr:row>
      <xdr:rowOff>30480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14F2AFB-9BE5-1194-5793-3A81C8CBA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533400</xdr:colOff>
      <xdr:row>191</xdr:row>
      <xdr:rowOff>53340</xdr:rowOff>
    </xdr:from>
    <xdr:to>
      <xdr:col>13</xdr:col>
      <xdr:colOff>228600</xdr:colOff>
      <xdr:row>206</xdr:row>
      <xdr:rowOff>15240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8C5817E-D605-A8B6-72E4-90CB4A721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586740</xdr:colOff>
      <xdr:row>196</xdr:row>
      <xdr:rowOff>110490</xdr:rowOff>
    </xdr:from>
    <xdr:to>
      <xdr:col>15</xdr:col>
      <xdr:colOff>281940</xdr:colOff>
      <xdr:row>217</xdr:row>
      <xdr:rowOff>3810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159A224-8179-C8AB-CAE9-8339C6F65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586740</xdr:colOff>
      <xdr:row>218</xdr:row>
      <xdr:rowOff>125730</xdr:rowOff>
    </xdr:from>
    <xdr:to>
      <xdr:col>15</xdr:col>
      <xdr:colOff>281940</xdr:colOff>
      <xdr:row>236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F85494D-3A74-D6D6-345B-A29C0874A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3;&#1086;&#1074;&#1072;&#1103;%20&#1087;&#1072;&#1087;&#1082;&#1072;%20(2)/Teaching/3.%20Market%20risk%20of%20trading%20book/3.1%20Fin%20instruments%20val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and PL general example"/>
      <sheetName val="FV and PL_forward"/>
      <sheetName val="PL after expiration_options"/>
      <sheetName val="FV_option"/>
      <sheetName val="FV_option_BS"/>
      <sheetName val="FV and PL int rate swap"/>
      <sheetName val="Interest accrual"/>
      <sheetName val="LIBOR USD"/>
      <sheetName val="FV_option_BlackSholes"/>
    </sheetNames>
    <sheetDataSet>
      <sheetData sheetId="0"/>
      <sheetData sheetId="1"/>
      <sheetData sheetId="2">
        <row r="12">
          <cell r="AH12" t="str">
            <v>PL at settlement combined option</v>
          </cell>
        </row>
      </sheetData>
      <sheetData sheetId="3"/>
      <sheetData sheetId="4">
        <row r="4">
          <cell r="B4">
            <v>2000</v>
          </cell>
        </row>
        <row r="6">
          <cell r="B6">
            <v>0.06</v>
          </cell>
        </row>
        <row r="7">
          <cell r="B7">
            <v>0.15</v>
          </cell>
        </row>
        <row r="8">
          <cell r="B8">
            <v>0.03</v>
          </cell>
        </row>
        <row r="9">
          <cell r="B9">
            <v>2</v>
          </cell>
        </row>
      </sheetData>
      <sheetData sheetId="5"/>
      <sheetData sheetId="6">
        <row r="7">
          <cell r="C7" t="str">
            <v>Simple</v>
          </cell>
        </row>
      </sheetData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EPANCHENKO, D. (Dmitrii)" id="{C9C0B1CF-127F-48F1-BD21-E673112FAB56}" userId="S::dmitrii.stepanchenko@ing.com::30c9d29d-ac41-46ff-b2be-c3f5dd1e26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38" dT="2022-12-21T13:40:48.40" personId="{C9C0B1CF-127F-48F1-BD21-E673112FAB56}" id="{090C7557-8FB2-45D8-9B71-CBE2BD8AAD81}">
    <text>zero coupon bond repaid after 2 years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s.org/bcbs/publ/d368.pdf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46"/>
  <sheetViews>
    <sheetView zoomScale="90" zoomScaleNormal="90" workbookViewId="0">
      <selection activeCell="H28" sqref="H28"/>
    </sheetView>
  </sheetViews>
  <sheetFormatPr defaultRowHeight="10.199999999999999" outlineLevelRow="1" x14ac:dyDescent="0.3"/>
  <cols>
    <col min="1" max="1" width="8.88671875" style="8"/>
    <col min="2" max="2" width="11.44140625" style="8" customWidth="1"/>
    <col min="3" max="3" width="26.109375" style="8" customWidth="1"/>
    <col min="4" max="4" width="14.77734375" style="8" customWidth="1"/>
    <col min="5" max="5" width="11.33203125" style="8" customWidth="1"/>
    <col min="6" max="6" width="15.77734375" style="8" customWidth="1"/>
    <col min="7" max="7" width="10.5546875" style="8" customWidth="1"/>
    <col min="8" max="10" width="14.88671875" style="8" customWidth="1"/>
    <col min="11" max="13" width="9.5546875" style="8" customWidth="1"/>
    <col min="14" max="14" width="31.5546875" style="162" customWidth="1"/>
    <col min="15" max="15" width="9.5546875" style="8" customWidth="1"/>
    <col min="16" max="16" width="9.5546875" style="83" customWidth="1"/>
    <col min="17" max="17" width="9.5546875" style="8" customWidth="1"/>
    <col min="18" max="18" width="9.5546875" style="83" customWidth="1"/>
    <col min="19" max="16384" width="8.88671875" style="8"/>
  </cols>
  <sheetData>
    <row r="2" spans="2:4" x14ac:dyDescent="0.3">
      <c r="B2" s="8" t="s">
        <v>13</v>
      </c>
      <c r="C2" s="24">
        <v>0.1179</v>
      </c>
    </row>
    <row r="3" spans="2:4" x14ac:dyDescent="0.3">
      <c r="B3" s="8" t="s">
        <v>17</v>
      </c>
      <c r="C3" s="18">
        <v>44197</v>
      </c>
    </row>
    <row r="5" spans="2:4" x14ac:dyDescent="0.3">
      <c r="B5" s="19">
        <v>1</v>
      </c>
      <c r="C5" s="19" t="s">
        <v>12</v>
      </c>
    </row>
    <row r="6" spans="2:4" x14ac:dyDescent="0.3">
      <c r="C6" s="20">
        <v>10000</v>
      </c>
      <c r="D6" s="8" t="s">
        <v>81</v>
      </c>
    </row>
    <row r="7" spans="2:4" x14ac:dyDescent="0.3">
      <c r="C7" s="20">
        <f>6</f>
        <v>6</v>
      </c>
      <c r="D7" s="8" t="s">
        <v>20</v>
      </c>
    </row>
    <row r="8" spans="2:4" x14ac:dyDescent="0.3">
      <c r="C8" s="8" t="s">
        <v>14</v>
      </c>
      <c r="D8" s="8" t="s">
        <v>15</v>
      </c>
    </row>
    <row r="9" spans="2:4" x14ac:dyDescent="0.3">
      <c r="C9" s="8">
        <v>3</v>
      </c>
      <c r="D9" s="8" t="s">
        <v>16</v>
      </c>
    </row>
    <row r="10" spans="2:4" x14ac:dyDescent="0.3">
      <c r="C10" s="18">
        <v>44166</v>
      </c>
      <c r="D10" s="8" t="s">
        <v>18</v>
      </c>
    </row>
    <row r="11" spans="2:4" x14ac:dyDescent="0.3">
      <c r="C11" s="18" t="s">
        <v>174</v>
      </c>
    </row>
    <row r="12" spans="2:4" x14ac:dyDescent="0.3">
      <c r="C12" s="18"/>
    </row>
    <row r="13" spans="2:4" x14ac:dyDescent="0.3">
      <c r="C13" s="18" t="s">
        <v>40</v>
      </c>
    </row>
    <row r="14" spans="2:4" x14ac:dyDescent="0.3">
      <c r="B14" s="19">
        <v>2</v>
      </c>
      <c r="C14" s="21" t="s">
        <v>19</v>
      </c>
    </row>
    <row r="15" spans="2:4" x14ac:dyDescent="0.3">
      <c r="C15" s="20">
        <v>10000</v>
      </c>
      <c r="D15" s="8" t="s">
        <v>81</v>
      </c>
    </row>
    <row r="16" spans="2:4" x14ac:dyDescent="0.3">
      <c r="C16" s="20">
        <v>5</v>
      </c>
      <c r="D16" s="8" t="s">
        <v>20</v>
      </c>
    </row>
    <row r="17" spans="2:4" x14ac:dyDescent="0.3">
      <c r="C17" s="17">
        <v>0.15</v>
      </c>
      <c r="D17" s="8" t="s">
        <v>15</v>
      </c>
    </row>
    <row r="18" spans="2:4" x14ac:dyDescent="0.3">
      <c r="C18" s="20">
        <v>12</v>
      </c>
      <c r="D18" s="8" t="s">
        <v>32</v>
      </c>
    </row>
    <row r="19" spans="2:4" x14ac:dyDescent="0.3">
      <c r="C19" s="22">
        <f>((C17/C18)*(1+C17/C18)^(C16*C18))/((1+C17/C18)^(C16*C18)-1)*C15</f>
        <v>237.89930086358748</v>
      </c>
    </row>
    <row r="20" spans="2:4" x14ac:dyDescent="0.3">
      <c r="C20" s="18"/>
    </row>
    <row r="21" spans="2:4" x14ac:dyDescent="0.3">
      <c r="B21" s="19">
        <v>3</v>
      </c>
      <c r="C21" s="19" t="s">
        <v>12</v>
      </c>
    </row>
    <row r="22" spans="2:4" x14ac:dyDescent="0.3">
      <c r="C22" s="20">
        <v>6000</v>
      </c>
      <c r="D22" s="8" t="s">
        <v>81</v>
      </c>
    </row>
    <row r="23" spans="2:4" x14ac:dyDescent="0.3">
      <c r="C23" s="20">
        <v>10</v>
      </c>
      <c r="D23" s="8" t="s">
        <v>20</v>
      </c>
    </row>
    <row r="24" spans="2:4" x14ac:dyDescent="0.3">
      <c r="C24" s="17">
        <v>0.14000000000000001</v>
      </c>
      <c r="D24" s="8" t="s">
        <v>15</v>
      </c>
    </row>
    <row r="25" spans="2:4" x14ac:dyDescent="0.3">
      <c r="C25" s="17" t="s">
        <v>41</v>
      </c>
    </row>
    <row r="26" spans="2:4" x14ac:dyDescent="0.3">
      <c r="C26" s="23"/>
    </row>
    <row r="27" spans="2:4" x14ac:dyDescent="0.3">
      <c r="B27" s="19">
        <v>4</v>
      </c>
      <c r="C27" s="21" t="s">
        <v>34</v>
      </c>
    </row>
    <row r="28" spans="2:4" x14ac:dyDescent="0.3">
      <c r="C28" s="20">
        <v>10000</v>
      </c>
      <c r="D28" s="8" t="s">
        <v>81</v>
      </c>
    </row>
    <row r="29" spans="2:4" x14ac:dyDescent="0.3">
      <c r="C29" s="18"/>
    </row>
    <row r="30" spans="2:4" x14ac:dyDescent="0.3">
      <c r="B30" s="19">
        <v>5</v>
      </c>
      <c r="C30" s="21" t="s">
        <v>33</v>
      </c>
    </row>
    <row r="31" spans="2:4" x14ac:dyDescent="0.3">
      <c r="C31" s="20">
        <v>15000</v>
      </c>
      <c r="D31" s="8" t="s">
        <v>81</v>
      </c>
    </row>
    <row r="32" spans="2:4" x14ac:dyDescent="0.3">
      <c r="C32" s="20">
        <v>2</v>
      </c>
      <c r="D32" s="8" t="s">
        <v>35</v>
      </c>
    </row>
    <row r="33" spans="2:18" x14ac:dyDescent="0.3">
      <c r="C33" s="17">
        <v>0.12</v>
      </c>
      <c r="D33" s="8" t="s">
        <v>15</v>
      </c>
    </row>
    <row r="35" spans="2:18" x14ac:dyDescent="0.3">
      <c r="B35" s="19">
        <v>6</v>
      </c>
      <c r="C35" s="19" t="s">
        <v>36</v>
      </c>
    </row>
    <row r="36" spans="2:18" x14ac:dyDescent="0.3">
      <c r="C36" s="8">
        <v>5000</v>
      </c>
      <c r="D36" s="8" t="s">
        <v>81</v>
      </c>
    </row>
    <row r="37" spans="2:18" x14ac:dyDescent="0.3">
      <c r="C37" s="8" t="s">
        <v>37</v>
      </c>
      <c r="D37" s="8" t="s">
        <v>20</v>
      </c>
    </row>
    <row r="38" spans="2:18" x14ac:dyDescent="0.3">
      <c r="C38" s="24">
        <v>1E-4</v>
      </c>
      <c r="D38" s="8" t="s">
        <v>15</v>
      </c>
    </row>
    <row r="39" spans="2:18" x14ac:dyDescent="0.3">
      <c r="C39" s="24"/>
    </row>
    <row r="40" spans="2:18" x14ac:dyDescent="0.3">
      <c r="B40" s="19">
        <v>7</v>
      </c>
      <c r="C40" s="19" t="s">
        <v>38</v>
      </c>
    </row>
    <row r="41" spans="2:18" x14ac:dyDescent="0.3">
      <c r="C41" s="8">
        <v>6000</v>
      </c>
      <c r="D41" s="8" t="s">
        <v>81</v>
      </c>
    </row>
    <row r="42" spans="2:18" x14ac:dyDescent="0.3">
      <c r="C42" s="8" t="s">
        <v>37</v>
      </c>
      <c r="D42" s="8" t="s">
        <v>20</v>
      </c>
    </row>
    <row r="43" spans="2:18" x14ac:dyDescent="0.3">
      <c r="C43" s="24">
        <v>1E-4</v>
      </c>
      <c r="D43" s="8" t="s">
        <v>15</v>
      </c>
    </row>
    <row r="44" spans="2:18" x14ac:dyDescent="0.3">
      <c r="C44" s="24"/>
    </row>
    <row r="45" spans="2:18" s="19" customFormat="1" x14ac:dyDescent="0.3">
      <c r="B45" s="19">
        <v>8</v>
      </c>
      <c r="C45" s="25" t="s">
        <v>126</v>
      </c>
      <c r="N45" s="163"/>
      <c r="P45" s="101"/>
      <c r="R45" s="101"/>
    </row>
    <row r="46" spans="2:18" x14ac:dyDescent="0.3">
      <c r="C46" s="20">
        <v>5000</v>
      </c>
      <c r="D46" s="8" t="s">
        <v>81</v>
      </c>
    </row>
    <row r="47" spans="2:18" x14ac:dyDescent="0.3">
      <c r="C47" s="23">
        <v>2</v>
      </c>
      <c r="D47" s="8" t="s">
        <v>20</v>
      </c>
    </row>
    <row r="48" spans="2:18" x14ac:dyDescent="0.3">
      <c r="C48" s="24">
        <v>0.11</v>
      </c>
      <c r="D48" s="8" t="s">
        <v>15</v>
      </c>
    </row>
    <row r="49" spans="2:18" x14ac:dyDescent="0.3">
      <c r="C49" s="24"/>
    </row>
    <row r="50" spans="2:18" x14ac:dyDescent="0.3">
      <c r="B50" s="19">
        <v>9</v>
      </c>
      <c r="C50" s="25" t="s">
        <v>175</v>
      </c>
    </row>
    <row r="51" spans="2:18" x14ac:dyDescent="0.3">
      <c r="C51" s="20">
        <v>5000</v>
      </c>
      <c r="D51" s="8" t="s">
        <v>81</v>
      </c>
    </row>
    <row r="52" spans="2:18" x14ac:dyDescent="0.3">
      <c r="C52" s="20"/>
    </row>
    <row r="53" spans="2:18" s="142" customFormat="1" x14ac:dyDescent="0.3">
      <c r="C53" s="143" t="s">
        <v>106</v>
      </c>
      <c r="N53" s="164"/>
      <c r="P53" s="151"/>
      <c r="R53" s="151"/>
    </row>
    <row r="54" spans="2:18" x14ac:dyDescent="0.3">
      <c r="C54" s="24"/>
    </row>
    <row r="55" spans="2:18" x14ac:dyDescent="0.3">
      <c r="B55" s="19" t="s">
        <v>50</v>
      </c>
      <c r="C55" s="25" t="s">
        <v>46</v>
      </c>
    </row>
    <row r="56" spans="2:18" x14ac:dyDescent="0.3">
      <c r="C56" s="24"/>
      <c r="O56" s="28"/>
    </row>
    <row r="57" spans="2:18" s="7" customFormat="1" ht="22.8" customHeight="1" x14ac:dyDescent="0.3">
      <c r="B57" s="10" t="s">
        <v>11</v>
      </c>
      <c r="C57" s="10" t="s">
        <v>10</v>
      </c>
      <c r="D57" s="10" t="s">
        <v>0</v>
      </c>
      <c r="E57" s="10" t="s">
        <v>110</v>
      </c>
      <c r="F57" s="10" t="s">
        <v>111</v>
      </c>
      <c r="G57" s="10" t="s">
        <v>112</v>
      </c>
      <c r="H57" s="10" t="s">
        <v>113</v>
      </c>
      <c r="I57" s="10" t="s">
        <v>114</v>
      </c>
      <c r="J57" s="10" t="s">
        <v>115</v>
      </c>
      <c r="K57" s="10" t="s">
        <v>116</v>
      </c>
      <c r="L57" s="10" t="s">
        <v>117</v>
      </c>
      <c r="M57" s="10" t="s">
        <v>109</v>
      </c>
      <c r="N57" s="157" t="s">
        <v>43</v>
      </c>
      <c r="O57" s="32" t="s">
        <v>47</v>
      </c>
      <c r="P57" s="152"/>
      <c r="R57" s="152"/>
    </row>
    <row r="58" spans="2:18" x14ac:dyDescent="0.3">
      <c r="B58" s="11">
        <v>1</v>
      </c>
      <c r="C58" s="12" t="s">
        <v>12</v>
      </c>
      <c r="D58" s="79"/>
      <c r="E58" s="79">
        <f>C6</f>
        <v>10000</v>
      </c>
      <c r="F58" s="79"/>
      <c r="G58" s="79"/>
      <c r="H58" s="79"/>
      <c r="I58" s="79"/>
      <c r="J58" s="79"/>
      <c r="K58" s="79"/>
      <c r="L58" s="79"/>
      <c r="M58" s="79"/>
      <c r="N58" s="165" t="s">
        <v>44</v>
      </c>
      <c r="O58" s="33">
        <f>SUM(D58:M58)-C6</f>
        <v>0</v>
      </c>
    </row>
    <row r="59" spans="2:18" ht="20.399999999999999" x14ac:dyDescent="0.3">
      <c r="B59" s="11">
        <v>2</v>
      </c>
      <c r="C59" s="13" t="s">
        <v>19</v>
      </c>
      <c r="D59" s="79">
        <f>'annuity example'!I12</f>
        <v>112.8993008635867</v>
      </c>
      <c r="E59" s="79">
        <f>'annuity example'!I13</f>
        <v>230.04996602531781</v>
      </c>
      <c r="F59" s="79">
        <f>'annuity example'!I14</f>
        <v>355.97129168887943</v>
      </c>
      <c r="G59" s="79">
        <f>'annuity example'!I15</f>
        <v>369.48777192662067</v>
      </c>
      <c r="H59" s="79">
        <f>'annuity example'!I16</f>
        <v>383.51748242276409</v>
      </c>
      <c r="I59" s="79">
        <f>'annuity example'!I17</f>
        <v>3641.5832159249794</v>
      </c>
      <c r="J59" s="79">
        <f>'annuity example'!I18</f>
        <v>4906.4909711477931</v>
      </c>
      <c r="K59" s="79"/>
      <c r="L59" s="79"/>
      <c r="M59" s="79"/>
      <c r="N59" s="166" t="s">
        <v>49</v>
      </c>
      <c r="O59" s="31">
        <f>SUM(D59:M59)-C15</f>
        <v>-5.8207660913467407E-11</v>
      </c>
    </row>
    <row r="60" spans="2:18" ht="20.399999999999999" x14ac:dyDescent="0.3">
      <c r="B60" s="11">
        <v>3</v>
      </c>
      <c r="C60" s="12" t="s">
        <v>12</v>
      </c>
      <c r="D60" s="79">
        <f>$C$22/(12*$C$23)*'annuity example'!J12</f>
        <v>50</v>
      </c>
      <c r="E60" s="79">
        <f>$C$22/(12*$C$23)*'annuity example'!$J13</f>
        <v>100</v>
      </c>
      <c r="F60" s="79">
        <f>$C$22/(12*$C$23)*'annuity example'!$J14</f>
        <v>150</v>
      </c>
      <c r="G60" s="79">
        <f>$C$22/(12*$C$23)*'annuity example'!$J15</f>
        <v>150</v>
      </c>
      <c r="H60" s="79">
        <f>$C$22/(12*$C$23)*'annuity example'!$J16</f>
        <v>150</v>
      </c>
      <c r="I60" s="79">
        <f>$C$22/(12*$C$23)*'annuity example'!$J17</f>
        <v>1200</v>
      </c>
      <c r="J60" s="79">
        <f>$C$22/(12*$C$23)*'annuity example'!$J18</f>
        <v>1200</v>
      </c>
      <c r="K60" s="79">
        <f>$C$22/(12*$C$23)*'annuity example'!$J19</f>
        <v>1200</v>
      </c>
      <c r="L60" s="79">
        <f>$C$22/(12*$C$23)*'annuity example'!$J20</f>
        <v>1800</v>
      </c>
      <c r="M60" s="79"/>
      <c r="N60" s="165" t="s">
        <v>49</v>
      </c>
      <c r="O60" s="33">
        <f>SUM(D60:M60)-C22</f>
        <v>0</v>
      </c>
    </row>
    <row r="61" spans="2:18" x14ac:dyDescent="0.3">
      <c r="B61" s="11">
        <v>4</v>
      </c>
      <c r="C61" s="13" t="s">
        <v>34</v>
      </c>
      <c r="D61" s="79"/>
      <c r="E61" s="79"/>
      <c r="F61" s="79"/>
      <c r="G61" s="79"/>
      <c r="H61" s="79"/>
      <c r="I61" s="79"/>
      <c r="J61" s="80"/>
      <c r="K61" s="80"/>
      <c r="L61" s="80"/>
      <c r="M61" s="80">
        <f>C28</f>
        <v>10000</v>
      </c>
      <c r="N61" s="165" t="s">
        <v>48</v>
      </c>
      <c r="O61" s="33">
        <f>SUM(D61:M61)-C28</f>
        <v>0</v>
      </c>
    </row>
    <row r="62" spans="2:18" ht="20.399999999999999" x14ac:dyDescent="0.3">
      <c r="B62" s="11">
        <v>5</v>
      </c>
      <c r="C62" s="13" t="s">
        <v>33</v>
      </c>
      <c r="D62" s="79"/>
      <c r="E62" s="79">
        <f>C31</f>
        <v>15000</v>
      </c>
      <c r="F62" s="79"/>
      <c r="G62" s="79"/>
      <c r="H62" s="79"/>
      <c r="I62" s="79"/>
      <c r="J62" s="80"/>
      <c r="K62" s="80"/>
      <c r="L62" s="80"/>
      <c r="M62" s="80"/>
      <c r="N62" s="165" t="s">
        <v>49</v>
      </c>
      <c r="O62" s="33">
        <f>SUM(D62:M62)-C31</f>
        <v>0</v>
      </c>
    </row>
    <row r="63" spans="2:18" ht="20.399999999999999" x14ac:dyDescent="0.3">
      <c r="B63" s="11">
        <v>6</v>
      </c>
      <c r="C63" s="12" t="s">
        <v>36</v>
      </c>
      <c r="D63" s="79"/>
      <c r="E63" s="79"/>
      <c r="F63" s="79"/>
      <c r="G63" s="79"/>
      <c r="H63" s="79"/>
      <c r="I63" s="79"/>
      <c r="J63" s="80"/>
      <c r="K63" s="80"/>
      <c r="L63" s="80"/>
      <c r="M63" s="80">
        <f>C36</f>
        <v>5000</v>
      </c>
      <c r="N63" s="165" t="s">
        <v>48</v>
      </c>
      <c r="O63" s="33">
        <f>SUM(D63:M63)-C36</f>
        <v>0</v>
      </c>
    </row>
    <row r="64" spans="2:18" x14ac:dyDescent="0.3">
      <c r="B64" s="11">
        <v>7</v>
      </c>
      <c r="C64" s="12" t="s">
        <v>38</v>
      </c>
      <c r="D64" s="79"/>
      <c r="E64" s="79"/>
      <c r="F64" s="79"/>
      <c r="G64" s="79"/>
      <c r="H64" s="79"/>
      <c r="I64" s="79"/>
      <c r="J64" s="79"/>
      <c r="K64" s="79"/>
      <c r="L64" s="79"/>
      <c r="M64" s="79">
        <f>C41</f>
        <v>6000</v>
      </c>
      <c r="N64" s="165" t="s">
        <v>48</v>
      </c>
      <c r="O64" s="33">
        <f>SUM(D64:M64)-C41</f>
        <v>0</v>
      </c>
    </row>
    <row r="65" spans="1:18" ht="20.399999999999999" x14ac:dyDescent="0.3">
      <c r="B65" s="11">
        <v>8</v>
      </c>
      <c r="C65" s="14" t="s">
        <v>39</v>
      </c>
      <c r="D65" s="79"/>
      <c r="E65" s="79"/>
      <c r="F65" s="79"/>
      <c r="G65" s="79"/>
      <c r="H65" s="79"/>
      <c r="I65" s="79"/>
      <c r="J65" s="79">
        <f>C46</f>
        <v>5000</v>
      </c>
      <c r="K65" s="79"/>
      <c r="L65" s="79"/>
      <c r="M65" s="79"/>
      <c r="N65" s="165" t="s">
        <v>49</v>
      </c>
      <c r="O65" s="33">
        <f>SUM(D65:M65)-C46</f>
        <v>0</v>
      </c>
    </row>
    <row r="66" spans="1:18" x14ac:dyDescent="0.3">
      <c r="B66" s="11">
        <v>9</v>
      </c>
      <c r="C66" s="14" t="s">
        <v>42</v>
      </c>
      <c r="D66" s="79"/>
      <c r="E66" s="79"/>
      <c r="F66" s="79"/>
      <c r="G66" s="79"/>
      <c r="H66" s="79"/>
      <c r="I66" s="79"/>
      <c r="J66" s="79"/>
      <c r="K66" s="79"/>
      <c r="L66" s="79"/>
      <c r="M66" s="79">
        <f>C51</f>
        <v>5000</v>
      </c>
      <c r="N66" s="165" t="s">
        <v>48</v>
      </c>
      <c r="O66" s="33">
        <f>SUM(D66:M66)-C51</f>
        <v>0</v>
      </c>
    </row>
    <row r="67" spans="1:18" x14ac:dyDescent="0.3">
      <c r="D67" s="22"/>
      <c r="E67" s="22"/>
      <c r="F67" s="22"/>
      <c r="G67" s="22"/>
      <c r="H67" s="22"/>
      <c r="I67" s="22"/>
      <c r="J67" s="22"/>
      <c r="K67" s="22"/>
      <c r="L67" s="22"/>
      <c r="M67" s="22"/>
      <c r="O67" s="28"/>
    </row>
    <row r="68" spans="1:18" s="144" customFormat="1" x14ac:dyDescent="0.3">
      <c r="A68" s="144" t="s">
        <v>40</v>
      </c>
      <c r="B68" s="26" t="s">
        <v>51</v>
      </c>
      <c r="C68" s="26" t="s">
        <v>52</v>
      </c>
      <c r="N68" s="167"/>
      <c r="P68" s="153"/>
      <c r="R68" s="153"/>
    </row>
    <row r="70" spans="1:18" ht="22.2" customHeight="1" x14ac:dyDescent="0.3">
      <c r="B70" s="10" t="s">
        <v>11</v>
      </c>
      <c r="C70" s="10" t="s">
        <v>10</v>
      </c>
      <c r="D70" s="10" t="s">
        <v>0</v>
      </c>
      <c r="E70" s="10" t="s">
        <v>110</v>
      </c>
      <c r="F70" s="10" t="s">
        <v>111</v>
      </c>
      <c r="G70" s="10" t="s">
        <v>112</v>
      </c>
      <c r="H70" s="10" t="s">
        <v>113</v>
      </c>
      <c r="I70" s="10" t="s">
        <v>114</v>
      </c>
      <c r="J70" s="10" t="s">
        <v>115</v>
      </c>
      <c r="K70" s="10" t="s">
        <v>116</v>
      </c>
      <c r="L70" s="10" t="s">
        <v>117</v>
      </c>
      <c r="M70" s="10" t="s">
        <v>109</v>
      </c>
      <c r="N70" s="157" t="s">
        <v>43</v>
      </c>
    </row>
    <row r="71" spans="1:18" x14ac:dyDescent="0.3">
      <c r="B71" s="11">
        <v>1</v>
      </c>
      <c r="C71" s="12" t="s">
        <v>12</v>
      </c>
      <c r="D71" s="79">
        <f t="shared" ref="D71:E74" si="0">D58</f>
        <v>0</v>
      </c>
      <c r="E71" s="79">
        <f t="shared" si="0"/>
        <v>10000</v>
      </c>
      <c r="F71" s="79">
        <f t="shared" ref="F71:M71" si="1">F58</f>
        <v>0</v>
      </c>
      <c r="G71" s="79">
        <f t="shared" si="1"/>
        <v>0</v>
      </c>
      <c r="H71" s="79">
        <f t="shared" si="1"/>
        <v>0</v>
      </c>
      <c r="I71" s="79">
        <f t="shared" si="1"/>
        <v>0</v>
      </c>
      <c r="J71" s="79">
        <f t="shared" si="1"/>
        <v>0</v>
      </c>
      <c r="K71" s="79">
        <f t="shared" si="1"/>
        <v>0</v>
      </c>
      <c r="L71" s="79">
        <f t="shared" si="1"/>
        <v>0</v>
      </c>
      <c r="M71" s="79">
        <f t="shared" si="1"/>
        <v>0</v>
      </c>
      <c r="N71" s="165"/>
    </row>
    <row r="72" spans="1:18" x14ac:dyDescent="0.3">
      <c r="B72" s="11">
        <v>2</v>
      </c>
      <c r="C72" s="13" t="s">
        <v>19</v>
      </c>
      <c r="D72" s="79">
        <f t="shared" si="0"/>
        <v>112.8993008635867</v>
      </c>
      <c r="E72" s="79">
        <f t="shared" si="0"/>
        <v>230.04996602531781</v>
      </c>
      <c r="F72" s="79">
        <f t="shared" ref="F72:M72" si="2">F59</f>
        <v>355.97129168887943</v>
      </c>
      <c r="G72" s="79">
        <f t="shared" si="2"/>
        <v>369.48777192662067</v>
      </c>
      <c r="H72" s="79">
        <f t="shared" si="2"/>
        <v>383.51748242276409</v>
      </c>
      <c r="I72" s="79">
        <f t="shared" si="2"/>
        <v>3641.5832159249794</v>
      </c>
      <c r="J72" s="79">
        <f t="shared" si="2"/>
        <v>4906.4909711477931</v>
      </c>
      <c r="K72" s="79">
        <f t="shared" si="2"/>
        <v>0</v>
      </c>
      <c r="L72" s="79">
        <f t="shared" si="2"/>
        <v>0</v>
      </c>
      <c r="M72" s="79">
        <f t="shared" si="2"/>
        <v>0</v>
      </c>
      <c r="N72" s="165"/>
    </row>
    <row r="73" spans="1:18" x14ac:dyDescent="0.3">
      <c r="B73" s="11">
        <v>3</v>
      </c>
      <c r="C73" s="12" t="s">
        <v>12</v>
      </c>
      <c r="D73" s="79">
        <f t="shared" si="0"/>
        <v>50</v>
      </c>
      <c r="E73" s="79">
        <f t="shared" si="0"/>
        <v>100</v>
      </c>
      <c r="F73" s="79">
        <f t="shared" ref="F73:M73" si="3">F60</f>
        <v>150</v>
      </c>
      <c r="G73" s="79">
        <f t="shared" si="3"/>
        <v>150</v>
      </c>
      <c r="H73" s="79">
        <f t="shared" si="3"/>
        <v>150</v>
      </c>
      <c r="I73" s="79">
        <f t="shared" si="3"/>
        <v>1200</v>
      </c>
      <c r="J73" s="79">
        <f t="shared" si="3"/>
        <v>1200</v>
      </c>
      <c r="K73" s="79">
        <f t="shared" si="3"/>
        <v>1200</v>
      </c>
      <c r="L73" s="79">
        <f t="shared" si="3"/>
        <v>1800</v>
      </c>
      <c r="M73" s="79">
        <f t="shared" si="3"/>
        <v>0</v>
      </c>
      <c r="N73" s="165"/>
    </row>
    <row r="74" spans="1:18" x14ac:dyDescent="0.3">
      <c r="B74" s="11">
        <v>4</v>
      </c>
      <c r="C74" s="13" t="s">
        <v>34</v>
      </c>
      <c r="D74" s="79">
        <f t="shared" si="0"/>
        <v>0</v>
      </c>
      <c r="E74" s="79">
        <f t="shared" si="0"/>
        <v>0</v>
      </c>
      <c r="F74" s="79">
        <f t="shared" ref="F74:M74" si="4">F61</f>
        <v>0</v>
      </c>
      <c r="G74" s="79">
        <f t="shared" si="4"/>
        <v>0</v>
      </c>
      <c r="H74" s="79">
        <f t="shared" si="4"/>
        <v>0</v>
      </c>
      <c r="I74" s="79">
        <f t="shared" si="4"/>
        <v>0</v>
      </c>
      <c r="J74" s="79">
        <f t="shared" si="4"/>
        <v>0</v>
      </c>
      <c r="K74" s="79">
        <f t="shared" si="4"/>
        <v>0</v>
      </c>
      <c r="L74" s="79">
        <f t="shared" si="4"/>
        <v>0</v>
      </c>
      <c r="M74" s="79">
        <f t="shared" si="4"/>
        <v>10000</v>
      </c>
      <c r="N74" s="165"/>
    </row>
    <row r="75" spans="1:18" x14ac:dyDescent="0.3">
      <c r="B75" s="11">
        <v>5</v>
      </c>
      <c r="C75" s="13" t="s">
        <v>33</v>
      </c>
      <c r="D75" s="79">
        <f t="shared" ref="D75:E77" si="5">-D62</f>
        <v>0</v>
      </c>
      <c r="E75" s="79">
        <f t="shared" si="5"/>
        <v>-15000</v>
      </c>
      <c r="F75" s="79">
        <f t="shared" ref="F75:M75" si="6">-F62</f>
        <v>0</v>
      </c>
      <c r="G75" s="79">
        <f t="shared" si="6"/>
        <v>0</v>
      </c>
      <c r="H75" s="79">
        <f t="shared" si="6"/>
        <v>0</v>
      </c>
      <c r="I75" s="79">
        <f t="shared" si="6"/>
        <v>0</v>
      </c>
      <c r="J75" s="79">
        <f t="shared" si="6"/>
        <v>0</v>
      </c>
      <c r="K75" s="79">
        <f t="shared" si="6"/>
        <v>0</v>
      </c>
      <c r="L75" s="79">
        <f t="shared" si="6"/>
        <v>0</v>
      </c>
      <c r="M75" s="79">
        <f t="shared" si="6"/>
        <v>0</v>
      </c>
      <c r="N75" s="165"/>
    </row>
    <row r="76" spans="1:18" ht="20.399999999999999" x14ac:dyDescent="0.3">
      <c r="B76" s="11">
        <v>6</v>
      </c>
      <c r="C76" s="12" t="s">
        <v>36</v>
      </c>
      <c r="D76" s="79">
        <f t="shared" si="5"/>
        <v>0</v>
      </c>
      <c r="E76" s="79">
        <f t="shared" si="5"/>
        <v>0</v>
      </c>
      <c r="F76" s="79">
        <f t="shared" ref="F76:M76" si="7">-F63</f>
        <v>0</v>
      </c>
      <c r="G76" s="79">
        <f t="shared" si="7"/>
        <v>0</v>
      </c>
      <c r="H76" s="79">
        <f t="shared" si="7"/>
        <v>0</v>
      </c>
      <c r="I76" s="79">
        <f t="shared" si="7"/>
        <v>0</v>
      </c>
      <c r="J76" s="79">
        <f t="shared" si="7"/>
        <v>0</v>
      </c>
      <c r="K76" s="79">
        <f t="shared" si="7"/>
        <v>0</v>
      </c>
      <c r="L76" s="79">
        <f t="shared" si="7"/>
        <v>0</v>
      </c>
      <c r="M76" s="79">
        <f t="shared" si="7"/>
        <v>-5000</v>
      </c>
      <c r="N76" s="165"/>
    </row>
    <row r="77" spans="1:18" x14ac:dyDescent="0.3">
      <c r="B77" s="11">
        <v>7</v>
      </c>
      <c r="C77" s="12" t="s">
        <v>38</v>
      </c>
      <c r="D77" s="79">
        <f t="shared" si="5"/>
        <v>0</v>
      </c>
      <c r="E77" s="79">
        <f t="shared" si="5"/>
        <v>0</v>
      </c>
      <c r="F77" s="79">
        <f t="shared" ref="F77:M77" si="8">-F64</f>
        <v>0</v>
      </c>
      <c r="G77" s="79">
        <f t="shared" si="8"/>
        <v>0</v>
      </c>
      <c r="H77" s="79">
        <f t="shared" si="8"/>
        <v>0</v>
      </c>
      <c r="I77" s="79">
        <f t="shared" si="8"/>
        <v>0</v>
      </c>
      <c r="J77" s="79">
        <f t="shared" si="8"/>
        <v>0</v>
      </c>
      <c r="K77" s="79">
        <f t="shared" si="8"/>
        <v>0</v>
      </c>
      <c r="L77" s="79">
        <f t="shared" si="8"/>
        <v>0</v>
      </c>
      <c r="M77" s="79">
        <f t="shared" si="8"/>
        <v>-6000</v>
      </c>
      <c r="N77" s="165"/>
    </row>
    <row r="78" spans="1:18" x14ac:dyDescent="0.3">
      <c r="B78" s="11">
        <v>8</v>
      </c>
      <c r="C78" s="14" t="s">
        <v>39</v>
      </c>
      <c r="D78" s="79">
        <f t="shared" ref="D78:E79" si="9">-D65</f>
        <v>0</v>
      </c>
      <c r="E78" s="79">
        <f t="shared" si="9"/>
        <v>0</v>
      </c>
      <c r="F78" s="79">
        <f t="shared" ref="F78:M78" si="10">-F65</f>
        <v>0</v>
      </c>
      <c r="G78" s="79">
        <f t="shared" si="10"/>
        <v>0</v>
      </c>
      <c r="H78" s="79">
        <f t="shared" si="10"/>
        <v>0</v>
      </c>
      <c r="I78" s="79">
        <f>-J65</f>
        <v>-5000</v>
      </c>
      <c r="J78" s="79">
        <v>0</v>
      </c>
      <c r="K78" s="79">
        <f t="shared" si="10"/>
        <v>0</v>
      </c>
      <c r="L78" s="79">
        <f t="shared" si="10"/>
        <v>0</v>
      </c>
      <c r="M78" s="79">
        <f t="shared" si="10"/>
        <v>0</v>
      </c>
      <c r="N78" s="165"/>
    </row>
    <row r="79" spans="1:18" x14ac:dyDescent="0.3">
      <c r="B79" s="11">
        <v>9</v>
      </c>
      <c r="C79" s="14" t="s">
        <v>42</v>
      </c>
      <c r="D79" s="79">
        <f t="shared" si="9"/>
        <v>0</v>
      </c>
      <c r="E79" s="79">
        <f t="shared" si="9"/>
        <v>0</v>
      </c>
      <c r="F79" s="79">
        <f t="shared" ref="F79:M79" si="11">-F66</f>
        <v>0</v>
      </c>
      <c r="G79" s="79">
        <f t="shared" si="11"/>
        <v>0</v>
      </c>
      <c r="H79" s="79">
        <f t="shared" si="11"/>
        <v>0</v>
      </c>
      <c r="I79" s="79">
        <f t="shared" si="11"/>
        <v>0</v>
      </c>
      <c r="J79" s="79">
        <f t="shared" si="11"/>
        <v>0</v>
      </c>
      <c r="K79" s="79">
        <f t="shared" si="11"/>
        <v>0</v>
      </c>
      <c r="L79" s="79">
        <f t="shared" si="11"/>
        <v>0</v>
      </c>
      <c r="M79" s="79">
        <f t="shared" si="11"/>
        <v>-5000</v>
      </c>
      <c r="N79" s="165"/>
    </row>
    <row r="80" spans="1:18" s="109" customFormat="1" ht="10.8" thickBot="1" x14ac:dyDescent="0.35">
      <c r="C80" s="109" t="s">
        <v>53</v>
      </c>
      <c r="D80" s="110">
        <f>SUM(D71:D79)</f>
        <v>162.89930086358669</v>
      </c>
      <c r="E80" s="110">
        <f>SUM(E71:E79)</f>
        <v>-4669.9500339746828</v>
      </c>
      <c r="F80" s="110">
        <f t="shared" ref="F80:M80" si="12">SUM(F71:F79)</f>
        <v>505.97129168887943</v>
      </c>
      <c r="G80" s="110">
        <f t="shared" si="12"/>
        <v>519.48777192662067</v>
      </c>
      <c r="H80" s="110">
        <f t="shared" si="12"/>
        <v>533.51748242276403</v>
      </c>
      <c r="I80" s="110">
        <f t="shared" si="12"/>
        <v>-158.41678407502059</v>
      </c>
      <c r="J80" s="110">
        <f t="shared" si="12"/>
        <v>6106.4909711477931</v>
      </c>
      <c r="K80" s="110">
        <f t="shared" si="12"/>
        <v>1200</v>
      </c>
      <c r="L80" s="110">
        <f t="shared" si="12"/>
        <v>1800</v>
      </c>
      <c r="M80" s="110">
        <f t="shared" si="12"/>
        <v>-6000</v>
      </c>
      <c r="N80" s="168"/>
      <c r="P80" s="110"/>
      <c r="R80" s="110"/>
    </row>
    <row r="81" spans="2:18" s="109" customFormat="1" ht="10.8" thickBot="1" x14ac:dyDescent="0.35">
      <c r="C81" s="109" t="s">
        <v>54</v>
      </c>
      <c r="D81" s="110">
        <f>D80</f>
        <v>162.89930086358669</v>
      </c>
      <c r="E81" s="110">
        <f>SUM($D$80:E80)</f>
        <v>-4507.0507331110957</v>
      </c>
      <c r="F81" s="110">
        <f>SUM($D$80:F80)</f>
        <v>-4001.0794414222164</v>
      </c>
      <c r="G81" s="110">
        <f>SUM($D$80:G80)</f>
        <v>-3481.5916694955959</v>
      </c>
      <c r="H81" s="112">
        <f>SUM($D$80:H80)</f>
        <v>-2948.0741870728316</v>
      </c>
      <c r="I81" s="110">
        <f>SUM($D$80:I80)</f>
        <v>-3106.4909711478522</v>
      </c>
      <c r="J81" s="110">
        <f>SUM($D$80:J80)</f>
        <v>2999.9999999999409</v>
      </c>
      <c r="K81" s="110">
        <f>SUM($D$80:K80)</f>
        <v>4199.9999999999409</v>
      </c>
      <c r="L81" s="110">
        <f>SUM($D$80:L80)</f>
        <v>5999.9999999999409</v>
      </c>
      <c r="M81" s="110">
        <f>SUM($D$80:M80)</f>
        <v>-5.9117155615240335E-11</v>
      </c>
      <c r="N81" s="168"/>
      <c r="P81" s="110"/>
      <c r="R81" s="110"/>
    </row>
    <row r="83" spans="2:18" ht="13.2" x14ac:dyDescent="0.3">
      <c r="B83" s="106" t="s">
        <v>169</v>
      </c>
    </row>
    <row r="111" spans="2:18" s="19" customFormat="1" x14ac:dyDescent="0.3">
      <c r="B111" s="19" t="s">
        <v>55</v>
      </c>
      <c r="C111" s="19" t="s">
        <v>67</v>
      </c>
      <c r="N111" s="163"/>
      <c r="P111" s="101"/>
      <c r="R111" s="101"/>
    </row>
    <row r="112" spans="2:18" x14ac:dyDescent="0.3">
      <c r="B112" s="19"/>
      <c r="C112" s="19"/>
    </row>
    <row r="113" spans="1:18" x14ac:dyDescent="0.3">
      <c r="C113" s="8" t="s">
        <v>62</v>
      </c>
    </row>
    <row r="115" spans="1:18" x14ac:dyDescent="0.3">
      <c r="C115" s="8" t="s">
        <v>72</v>
      </c>
    </row>
    <row r="116" spans="1:18" x14ac:dyDescent="0.3">
      <c r="C116" s="8" t="s">
        <v>105</v>
      </c>
      <c r="G116" s="17">
        <v>0.01</v>
      </c>
    </row>
    <row r="117" spans="1:18" x14ac:dyDescent="0.3">
      <c r="C117" s="17" t="s">
        <v>73</v>
      </c>
    </row>
    <row r="118" spans="1:18" x14ac:dyDescent="0.3">
      <c r="C118" s="17" t="s">
        <v>71</v>
      </c>
    </row>
    <row r="119" spans="1:18" x14ac:dyDescent="0.3">
      <c r="C119" s="17"/>
    </row>
    <row r="120" spans="1:18" s="144" customFormat="1" x14ac:dyDescent="0.3">
      <c r="A120" s="144" t="s">
        <v>40</v>
      </c>
      <c r="B120" s="26" t="s">
        <v>56</v>
      </c>
      <c r="C120" s="26" t="s">
        <v>58</v>
      </c>
      <c r="N120" s="167"/>
      <c r="P120" s="153"/>
      <c r="R120" s="153"/>
    </row>
    <row r="122" spans="1:18" x14ac:dyDescent="0.3">
      <c r="C122" s="10" t="s">
        <v>59</v>
      </c>
      <c r="D122" s="10" t="s">
        <v>0</v>
      </c>
      <c r="E122" s="10" t="s">
        <v>110</v>
      </c>
      <c r="F122" s="10" t="s">
        <v>111</v>
      </c>
      <c r="G122" s="10" t="s">
        <v>112</v>
      </c>
      <c r="H122" s="10" t="s">
        <v>113</v>
      </c>
    </row>
    <row r="123" spans="1:18" ht="20.399999999999999" x14ac:dyDescent="0.3">
      <c r="C123" s="12" t="s">
        <v>60</v>
      </c>
      <c r="D123" s="79">
        <f>'annuity example'!J12</f>
        <v>1</v>
      </c>
      <c r="E123" s="79">
        <f>'annuity example'!J13+D123</f>
        <v>3</v>
      </c>
      <c r="F123" s="79">
        <f>'annuity example'!J14+E123</f>
        <v>6</v>
      </c>
      <c r="G123" s="79">
        <f>'annuity example'!J15+F123</f>
        <v>9</v>
      </c>
      <c r="H123" s="79">
        <f>'annuity example'!J16+G123</f>
        <v>12</v>
      </c>
    </row>
    <row r="124" spans="1:18" x14ac:dyDescent="0.3">
      <c r="C124" s="11" t="s">
        <v>53</v>
      </c>
      <c r="D124" s="79">
        <f>D80</f>
        <v>162.89930086358669</v>
      </c>
      <c r="E124" s="79">
        <f>E80</f>
        <v>-4669.9500339746828</v>
      </c>
      <c r="F124" s="79">
        <f>F80</f>
        <v>505.97129168887943</v>
      </c>
      <c r="G124" s="79">
        <f>G80</f>
        <v>519.48777192662067</v>
      </c>
      <c r="H124" s="79">
        <f>H80</f>
        <v>533.51748242276403</v>
      </c>
    </row>
    <row r="125" spans="1:18" s="40" customFormat="1" ht="40.799999999999997" x14ac:dyDescent="0.3">
      <c r="C125" s="56" t="s">
        <v>61</v>
      </c>
      <c r="D125" s="81">
        <f>(D123+0)/2</f>
        <v>0.5</v>
      </c>
      <c r="E125" s="81">
        <f>(E123+D123)/2</f>
        <v>2</v>
      </c>
      <c r="F125" s="81">
        <f t="shared" ref="F125:H125" si="13">(F123+E123)/2</f>
        <v>4.5</v>
      </c>
      <c r="G125" s="81">
        <f t="shared" si="13"/>
        <v>7.5</v>
      </c>
      <c r="H125" s="81">
        <f t="shared" si="13"/>
        <v>10.5</v>
      </c>
      <c r="N125" s="169"/>
      <c r="P125" s="154"/>
      <c r="R125" s="154"/>
    </row>
    <row r="126" spans="1:18" ht="20.399999999999999" x14ac:dyDescent="0.3">
      <c r="C126" s="211" t="s">
        <v>176</v>
      </c>
      <c r="D126" s="82">
        <f>D124*$G$116*((12-D125)/12)</f>
        <v>1.5611182999427058</v>
      </c>
      <c r="E126" s="82">
        <f>E124*$G$116*((12-E125)/12)</f>
        <v>-38.916250283122359</v>
      </c>
      <c r="F126" s="82">
        <f>F124*$G$116*((12-F125)/12)</f>
        <v>3.1623205730554966</v>
      </c>
      <c r="G126" s="82">
        <f>G124*$G$116*((12-G125)/12)</f>
        <v>1.9480791447248276</v>
      </c>
      <c r="H126" s="82">
        <f>H124*$G$116*((12-H125)/12)</f>
        <v>0.66689685302845503</v>
      </c>
    </row>
    <row r="127" spans="1:18" ht="10.8" thickBot="1" x14ac:dyDescent="0.35">
      <c r="C127" s="209"/>
      <c r="D127" s="83"/>
      <c r="E127" s="83"/>
      <c r="F127" s="83"/>
      <c r="G127" s="83"/>
      <c r="H127" s="83"/>
    </row>
    <row r="128" spans="1:18" ht="21" thickBot="1" x14ac:dyDescent="0.35">
      <c r="C128" s="210" t="s">
        <v>177</v>
      </c>
      <c r="D128" s="84">
        <f>SUM(D126:H126)</f>
        <v>-31.577835412370874</v>
      </c>
      <c r="E128" s="83"/>
      <c r="F128" s="83"/>
      <c r="G128" s="83"/>
      <c r="H128" s="83"/>
    </row>
    <row r="129" spans="1:21" x14ac:dyDescent="0.3">
      <c r="D129" s="83"/>
      <c r="E129" s="83"/>
      <c r="F129" s="83"/>
      <c r="G129" s="83"/>
      <c r="H129" s="83"/>
    </row>
    <row r="130" spans="1:21" x14ac:dyDescent="0.3">
      <c r="D130" s="83"/>
      <c r="E130" s="83"/>
      <c r="F130" s="83"/>
      <c r="G130" s="83"/>
      <c r="H130" s="83"/>
    </row>
    <row r="131" spans="1:21" s="26" customFormat="1" x14ac:dyDescent="0.3">
      <c r="A131" s="26" t="s">
        <v>40</v>
      </c>
      <c r="B131" s="26" t="s">
        <v>57</v>
      </c>
      <c r="C131" s="26" t="s">
        <v>121</v>
      </c>
      <c r="N131" s="170"/>
      <c r="P131" s="155"/>
      <c r="R131" s="155"/>
    </row>
    <row r="133" spans="1:21" x14ac:dyDescent="0.3">
      <c r="B133" s="19" t="s">
        <v>68</v>
      </c>
      <c r="C133" s="19" t="s">
        <v>70</v>
      </c>
    </row>
    <row r="135" spans="1:21" s="29" customFormat="1" ht="20.399999999999999" x14ac:dyDescent="0.3">
      <c r="B135" s="10" t="s">
        <v>11</v>
      </c>
      <c r="C135" s="10" t="s">
        <v>10</v>
      </c>
      <c r="D135" s="10" t="s">
        <v>64</v>
      </c>
      <c r="E135" s="10" t="s">
        <v>65</v>
      </c>
      <c r="F135" s="10" t="s">
        <v>66</v>
      </c>
      <c r="N135" s="156"/>
      <c r="P135" s="156"/>
      <c r="R135" s="156"/>
    </row>
    <row r="136" spans="1:21" x14ac:dyDescent="0.3">
      <c r="B136" s="11">
        <v>1</v>
      </c>
      <c r="C136" s="12" t="s">
        <v>12</v>
      </c>
      <c r="D136" s="16">
        <f>SUM(D58:M58)</f>
        <v>10000</v>
      </c>
      <c r="E136" s="205">
        <f>C2+1%</f>
        <v>0.12790000000000001</v>
      </c>
      <c r="F136" s="16">
        <f>D136*E136</f>
        <v>1279.0000000000002</v>
      </c>
    </row>
    <row r="137" spans="1:21" x14ac:dyDescent="0.3">
      <c r="B137" s="11">
        <v>2</v>
      </c>
      <c r="C137" s="13" t="s">
        <v>19</v>
      </c>
      <c r="D137" s="16">
        <f>SUM(D59:M59)</f>
        <v>9999.9999999999418</v>
      </c>
      <c r="E137" s="205">
        <f>C17</f>
        <v>0.15</v>
      </c>
      <c r="F137" s="16">
        <f t="shared" ref="F137:F144" si="14">D137*E137</f>
        <v>1499.9999999999911</v>
      </c>
    </row>
    <row r="138" spans="1:21" x14ac:dyDescent="0.3">
      <c r="B138" s="11">
        <v>3</v>
      </c>
      <c r="C138" s="12" t="s">
        <v>12</v>
      </c>
      <c r="D138" s="16">
        <f>SUM(D60:M60)</f>
        <v>6000</v>
      </c>
      <c r="E138" s="205">
        <f>C24</f>
        <v>0.14000000000000001</v>
      </c>
      <c r="F138" s="16">
        <f t="shared" si="14"/>
        <v>840.00000000000011</v>
      </c>
    </row>
    <row r="139" spans="1:21" x14ac:dyDescent="0.3">
      <c r="B139" s="11">
        <v>4</v>
      </c>
      <c r="C139" s="13" t="s">
        <v>34</v>
      </c>
      <c r="D139" s="16">
        <f>SUM(D61:M61)</f>
        <v>10000</v>
      </c>
      <c r="E139" s="206">
        <v>0</v>
      </c>
      <c r="F139" s="16">
        <f t="shared" si="14"/>
        <v>0</v>
      </c>
    </row>
    <row r="140" spans="1:21" x14ac:dyDescent="0.3">
      <c r="B140" s="11">
        <v>5</v>
      </c>
      <c r="C140" s="13" t="s">
        <v>33</v>
      </c>
      <c r="D140" s="16">
        <f>-SUM(D62:M62)</f>
        <v>-15000</v>
      </c>
      <c r="E140" s="205">
        <f>C33</f>
        <v>0.12</v>
      </c>
      <c r="F140" s="16">
        <f t="shared" si="14"/>
        <v>-1800</v>
      </c>
    </row>
    <row r="141" spans="1:21" ht="20.399999999999999" x14ac:dyDescent="0.3">
      <c r="B141" s="11">
        <v>6</v>
      </c>
      <c r="C141" s="12" t="s">
        <v>36</v>
      </c>
      <c r="D141" s="16">
        <f>-SUM(D63:M63)</f>
        <v>-5000</v>
      </c>
      <c r="E141" s="205">
        <f>C38</f>
        <v>1E-4</v>
      </c>
      <c r="F141" s="16">
        <f t="shared" si="14"/>
        <v>-0.5</v>
      </c>
    </row>
    <row r="142" spans="1:21" x14ac:dyDescent="0.3">
      <c r="B142" s="11">
        <v>7</v>
      </c>
      <c r="C142" s="12" t="s">
        <v>38</v>
      </c>
      <c r="D142" s="16">
        <f>-SUM(D64:M64)</f>
        <v>-6000</v>
      </c>
      <c r="E142" s="205">
        <f>C43</f>
        <v>1E-4</v>
      </c>
      <c r="F142" s="16">
        <f t="shared" si="14"/>
        <v>-0.6</v>
      </c>
    </row>
    <row r="143" spans="1:21" x14ac:dyDescent="0.3">
      <c r="B143" s="11">
        <v>8</v>
      </c>
      <c r="C143" s="14" t="s">
        <v>39</v>
      </c>
      <c r="D143" s="16">
        <f>-SUM(D65:M65)</f>
        <v>-5000</v>
      </c>
      <c r="E143" s="205">
        <f>C48</f>
        <v>0.11</v>
      </c>
      <c r="F143" s="16">
        <f t="shared" si="14"/>
        <v>-550</v>
      </c>
    </row>
    <row r="144" spans="1:21" x14ac:dyDescent="0.3">
      <c r="B144" s="11">
        <v>9</v>
      </c>
      <c r="C144" s="14" t="s">
        <v>42</v>
      </c>
      <c r="D144" s="16">
        <f>-SUM(D66:M66)</f>
        <v>-5000</v>
      </c>
      <c r="E144" s="207">
        <v>0</v>
      </c>
      <c r="F144" s="16">
        <f t="shared" si="14"/>
        <v>0</v>
      </c>
      <c r="U144" s="8" t="s">
        <v>129</v>
      </c>
    </row>
    <row r="145" spans="2:21" s="19" customFormat="1" ht="14.4" x14ac:dyDescent="0.3">
      <c r="B145" s="35"/>
      <c r="C145" s="36" t="s">
        <v>80</v>
      </c>
      <c r="D145" s="37"/>
      <c r="E145" s="38"/>
      <c r="F145" s="37">
        <f>SUM(F136:F144)</f>
        <v>1267.8999999999915</v>
      </c>
      <c r="N145" s="163"/>
      <c r="P145" s="101"/>
      <c r="R145" s="101"/>
      <c r="U145" s="150" t="s">
        <v>122</v>
      </c>
    </row>
    <row r="146" spans="2:21" x14ac:dyDescent="0.3">
      <c r="C146" s="30" t="s">
        <v>47</v>
      </c>
      <c r="D146" s="31">
        <f>SUM(D136:D144)</f>
        <v>-5.8207660913467407E-11</v>
      </c>
    </row>
    <row r="148" spans="2:21" ht="13.2" x14ac:dyDescent="0.3">
      <c r="B148" s="19" t="s">
        <v>69</v>
      </c>
      <c r="C148" s="19" t="s">
        <v>67</v>
      </c>
      <c r="N148" s="188"/>
      <c r="O148" s="189"/>
      <c r="P148" s="190"/>
      <c r="Q148" s="189"/>
      <c r="R148" s="191"/>
      <c r="S148" s="192"/>
    </row>
    <row r="149" spans="2:21" ht="10.8" thickBot="1" x14ac:dyDescent="0.35">
      <c r="N149" s="188"/>
      <c r="O149" s="189"/>
      <c r="P149" s="190"/>
      <c r="Q149" s="189"/>
      <c r="R149" s="190"/>
      <c r="S149" s="189"/>
    </row>
    <row r="150" spans="2:21" s="39" customFormat="1" ht="45" customHeight="1" thickBot="1" x14ac:dyDescent="0.35">
      <c r="B150" s="64" t="s">
        <v>11</v>
      </c>
      <c r="C150" s="65" t="s">
        <v>10</v>
      </c>
      <c r="D150" s="65" t="s">
        <v>170</v>
      </c>
      <c r="E150" s="65" t="s">
        <v>65</v>
      </c>
      <c r="F150" s="65" t="s">
        <v>124</v>
      </c>
      <c r="G150" s="65" t="s">
        <v>74</v>
      </c>
      <c r="H150" s="91" t="s">
        <v>139</v>
      </c>
      <c r="I150" s="91" t="s">
        <v>140</v>
      </c>
      <c r="J150" s="92" t="s">
        <v>127</v>
      </c>
      <c r="N150" s="193"/>
      <c r="O150" s="145"/>
      <c r="P150" s="193"/>
      <c r="Q150" s="145"/>
      <c r="R150" s="193"/>
      <c r="S150" s="145"/>
    </row>
    <row r="151" spans="2:21" ht="10.8" thickBot="1" x14ac:dyDescent="0.35">
      <c r="B151" s="58">
        <v>1</v>
      </c>
      <c r="C151" s="59" t="s">
        <v>12</v>
      </c>
      <c r="D151" s="88">
        <f>D136</f>
        <v>10000</v>
      </c>
      <c r="E151" s="60">
        <f>E136</f>
        <v>0.12790000000000001</v>
      </c>
      <c r="F151" s="45">
        <v>2</v>
      </c>
      <c r="G151" s="46">
        <f>E151+1%</f>
        <v>0.13790000000000002</v>
      </c>
      <c r="H151" s="93">
        <f>F151/12*E151*D151</f>
        <v>213.16666666666669</v>
      </c>
      <c r="I151" s="93">
        <f>(12-F151)/12*G151*D151</f>
        <v>1149.166666666667</v>
      </c>
      <c r="J151" s="115">
        <f>H151+I151</f>
        <v>1362.3333333333337</v>
      </c>
      <c r="K151" s="215"/>
      <c r="N151" s="190"/>
      <c r="O151" s="194"/>
      <c r="P151" s="190"/>
      <c r="Q151" s="194"/>
      <c r="R151" s="190"/>
      <c r="S151" s="195"/>
    </row>
    <row r="152" spans="2:21" x14ac:dyDescent="0.3">
      <c r="B152" s="42">
        <v>2</v>
      </c>
      <c r="C152" s="43" t="s">
        <v>19</v>
      </c>
      <c r="D152" s="86">
        <f>'annuity example'!E13</f>
        <v>112.8993008635867</v>
      </c>
      <c r="E152" s="44">
        <f>$E$137</f>
        <v>0.15</v>
      </c>
      <c r="F152" s="119">
        <v>1</v>
      </c>
      <c r="G152" s="120">
        <f t="shared" ref="G152:G335" si="15">E152+1%</f>
        <v>0.16</v>
      </c>
      <c r="H152" s="121">
        <f t="shared" ref="H152:H335" si="16">F152/12*E152*D152</f>
        <v>1.4112412607948337</v>
      </c>
      <c r="I152" s="121">
        <f t="shared" ref="I152:I335" si="17">(12-F152)/12*G152*D152</f>
        <v>16.558564126659384</v>
      </c>
      <c r="J152" s="122">
        <f t="shared" ref="J152:J335" si="18">H152+I152</f>
        <v>17.969805387454219</v>
      </c>
      <c r="N152" s="190"/>
      <c r="O152" s="194"/>
      <c r="P152" s="190"/>
      <c r="Q152" s="194"/>
      <c r="R152" s="190"/>
      <c r="S152" s="195"/>
    </row>
    <row r="153" spans="2:21" x14ac:dyDescent="0.3">
      <c r="B153" s="47"/>
      <c r="C153" s="13"/>
      <c r="D153" s="16">
        <f>'annuity example'!E14</f>
        <v>114.31054212438153</v>
      </c>
      <c r="E153" s="34">
        <f t="shared" ref="E153:E211" si="19">$E$137</f>
        <v>0.15</v>
      </c>
      <c r="F153" s="11">
        <v>2</v>
      </c>
      <c r="G153" s="61">
        <f t="shared" si="15"/>
        <v>0.16</v>
      </c>
      <c r="H153" s="79">
        <f t="shared" si="16"/>
        <v>2.857763553109538</v>
      </c>
      <c r="I153" s="79">
        <f t="shared" si="17"/>
        <v>15.241405616584203</v>
      </c>
      <c r="J153" s="123">
        <f>H153+I153</f>
        <v>18.099169169693742</v>
      </c>
      <c r="N153" s="190"/>
      <c r="O153" s="194"/>
      <c r="P153" s="190"/>
      <c r="Q153" s="194"/>
      <c r="R153" s="190"/>
      <c r="S153" s="195"/>
    </row>
    <row r="154" spans="2:21" x14ac:dyDescent="0.3">
      <c r="B154" s="47"/>
      <c r="C154" s="13"/>
      <c r="D154" s="16">
        <f>'annuity example'!E15</f>
        <v>115.7394239009363</v>
      </c>
      <c r="E154" s="34">
        <f t="shared" si="19"/>
        <v>0.15</v>
      </c>
      <c r="F154" s="11">
        <f>F153+1</f>
        <v>3</v>
      </c>
      <c r="G154" s="61">
        <f t="shared" si="15"/>
        <v>0.16</v>
      </c>
      <c r="H154" s="79">
        <f t="shared" si="16"/>
        <v>4.3402283962851111</v>
      </c>
      <c r="I154" s="79">
        <f t="shared" si="17"/>
        <v>13.888730868112356</v>
      </c>
      <c r="J154" s="123">
        <f t="shared" si="18"/>
        <v>18.228959264397467</v>
      </c>
      <c r="N154" s="190"/>
      <c r="O154" s="194"/>
      <c r="P154" s="190"/>
      <c r="Q154" s="194"/>
      <c r="R154" s="190"/>
      <c r="S154" s="195"/>
    </row>
    <row r="155" spans="2:21" x14ac:dyDescent="0.3">
      <c r="B155" s="47"/>
      <c r="C155" s="13"/>
      <c r="D155" s="16">
        <f>'annuity example'!E16</f>
        <v>117.18616669969799</v>
      </c>
      <c r="E155" s="34">
        <f t="shared" si="19"/>
        <v>0.15</v>
      </c>
      <c r="F155" s="11">
        <f t="shared" ref="F155:F211" si="20">F154+1</f>
        <v>4</v>
      </c>
      <c r="G155" s="61">
        <f t="shared" si="15"/>
        <v>0.16</v>
      </c>
      <c r="H155" s="79">
        <f t="shared" si="16"/>
        <v>5.8593083349848989</v>
      </c>
      <c r="I155" s="79">
        <f t="shared" si="17"/>
        <v>12.499857781301118</v>
      </c>
      <c r="J155" s="123">
        <f t="shared" si="18"/>
        <v>18.359166116286019</v>
      </c>
      <c r="N155" s="190"/>
      <c r="O155" s="194"/>
      <c r="P155" s="190"/>
      <c r="Q155" s="194"/>
      <c r="R155" s="190"/>
      <c r="S155" s="195"/>
    </row>
    <row r="156" spans="2:21" x14ac:dyDescent="0.3">
      <c r="B156" s="47"/>
      <c r="C156" s="13"/>
      <c r="D156" s="16">
        <f>'annuity example'!E17</f>
        <v>118.65099378344421</v>
      </c>
      <c r="E156" s="34">
        <f t="shared" si="19"/>
        <v>0.15</v>
      </c>
      <c r="F156" s="11">
        <f t="shared" si="20"/>
        <v>5</v>
      </c>
      <c r="G156" s="61">
        <f t="shared" si="15"/>
        <v>0.16</v>
      </c>
      <c r="H156" s="79">
        <f t="shared" si="16"/>
        <v>7.4156871114652629</v>
      </c>
      <c r="I156" s="79">
        <f t="shared" si="17"/>
        <v>11.074092753121461</v>
      </c>
      <c r="J156" s="123">
        <f t="shared" si="18"/>
        <v>18.489779864586723</v>
      </c>
      <c r="N156" s="190"/>
      <c r="O156" s="194"/>
      <c r="P156" s="190"/>
      <c r="Q156" s="194"/>
      <c r="R156" s="190"/>
      <c r="S156" s="195"/>
    </row>
    <row r="157" spans="2:21" x14ac:dyDescent="0.3">
      <c r="B157" s="47"/>
      <c r="C157" s="13"/>
      <c r="D157" s="16">
        <f>'annuity example'!E18</f>
        <v>120.13413120573725</v>
      </c>
      <c r="E157" s="34">
        <f t="shared" si="19"/>
        <v>0.15</v>
      </c>
      <c r="F157" s="11">
        <f t="shared" si="20"/>
        <v>6</v>
      </c>
      <c r="G157" s="61">
        <f t="shared" si="15"/>
        <v>0.16</v>
      </c>
      <c r="H157" s="79">
        <f t="shared" si="16"/>
        <v>9.0100598404302925</v>
      </c>
      <c r="I157" s="79">
        <f t="shared" si="17"/>
        <v>9.6107304964589808</v>
      </c>
      <c r="J157" s="123">
        <f t="shared" si="18"/>
        <v>18.620790336889272</v>
      </c>
      <c r="N157" s="190"/>
      <c r="O157" s="194"/>
      <c r="P157" s="190"/>
      <c r="Q157" s="194"/>
      <c r="R157" s="190"/>
      <c r="S157" s="195"/>
    </row>
    <row r="158" spans="2:21" x14ac:dyDescent="0.3">
      <c r="B158" s="47"/>
      <c r="C158" s="13"/>
      <c r="D158" s="16">
        <f>'annuity example'!E19</f>
        <v>121.63580784580897</v>
      </c>
      <c r="E158" s="34">
        <f t="shared" si="19"/>
        <v>0.15</v>
      </c>
      <c r="F158" s="11">
        <f t="shared" si="20"/>
        <v>7</v>
      </c>
      <c r="G158" s="61">
        <f t="shared" si="15"/>
        <v>0.16</v>
      </c>
      <c r="H158" s="79">
        <f t="shared" si="16"/>
        <v>10.643133186508285</v>
      </c>
      <c r="I158" s="79">
        <f t="shared" si="17"/>
        <v>8.1090538563872645</v>
      </c>
      <c r="J158" s="123">
        <f t="shared" si="18"/>
        <v>18.752187042895549</v>
      </c>
      <c r="N158" s="190"/>
      <c r="O158" s="194"/>
      <c r="P158" s="190"/>
      <c r="Q158" s="194"/>
      <c r="R158" s="190"/>
      <c r="S158" s="195"/>
    </row>
    <row r="159" spans="2:21" x14ac:dyDescent="0.3">
      <c r="B159" s="47"/>
      <c r="C159" s="13"/>
      <c r="D159" s="16">
        <f>'annuity example'!E20</f>
        <v>123.15625544388158</v>
      </c>
      <c r="E159" s="34">
        <f t="shared" si="19"/>
        <v>0.15</v>
      </c>
      <c r="F159" s="11">
        <f t="shared" si="20"/>
        <v>8</v>
      </c>
      <c r="G159" s="61">
        <f t="shared" si="15"/>
        <v>0.16</v>
      </c>
      <c r="H159" s="79">
        <f t="shared" si="16"/>
        <v>12.315625544388157</v>
      </c>
      <c r="I159" s="79">
        <f t="shared" si="17"/>
        <v>6.5683336236736833</v>
      </c>
      <c r="J159" s="123">
        <f t="shared" si="18"/>
        <v>18.883959168061839</v>
      </c>
      <c r="N159" s="190"/>
      <c r="O159" s="194"/>
      <c r="P159" s="190"/>
      <c r="Q159" s="194"/>
      <c r="R159" s="190"/>
      <c r="S159" s="195"/>
    </row>
    <row r="160" spans="2:21" x14ac:dyDescent="0.3">
      <c r="B160" s="47"/>
      <c r="C160" s="13"/>
      <c r="D160" s="16">
        <f>'annuity example'!E21</f>
        <v>124.69570863693011</v>
      </c>
      <c r="E160" s="34">
        <f t="shared" si="19"/>
        <v>0.15</v>
      </c>
      <c r="F160" s="11">
        <f t="shared" si="20"/>
        <v>9</v>
      </c>
      <c r="G160" s="61">
        <f t="shared" si="15"/>
        <v>0.16</v>
      </c>
      <c r="H160" s="79">
        <f t="shared" si="16"/>
        <v>14.028267221654636</v>
      </c>
      <c r="I160" s="79">
        <f t="shared" si="17"/>
        <v>4.9878283454772046</v>
      </c>
      <c r="J160" s="123">
        <f t="shared" si="18"/>
        <v>19.016095567131842</v>
      </c>
      <c r="N160" s="190"/>
      <c r="O160" s="194"/>
      <c r="P160" s="190"/>
      <c r="Q160" s="194"/>
      <c r="R160" s="190"/>
      <c r="S160" s="195"/>
    </row>
    <row r="161" spans="2:19" x14ac:dyDescent="0.3">
      <c r="B161" s="47"/>
      <c r="C161" s="13"/>
      <c r="D161" s="16">
        <f>'annuity example'!E22</f>
        <v>126.25440499489173</v>
      </c>
      <c r="E161" s="34">
        <f t="shared" si="19"/>
        <v>0.15</v>
      </c>
      <c r="F161" s="11">
        <f t="shared" si="20"/>
        <v>10</v>
      </c>
      <c r="G161" s="61">
        <f t="shared" si="15"/>
        <v>0.16</v>
      </c>
      <c r="H161" s="79">
        <f t="shared" si="16"/>
        <v>15.781800624361466</v>
      </c>
      <c r="I161" s="79">
        <f t="shared" si="17"/>
        <v>3.3667841331971124</v>
      </c>
      <c r="J161" s="123">
        <f t="shared" si="18"/>
        <v>19.148584757558577</v>
      </c>
      <c r="N161" s="190"/>
      <c r="O161" s="194"/>
      <c r="P161" s="190"/>
      <c r="Q161" s="194"/>
      <c r="R161" s="190"/>
      <c r="S161" s="195"/>
    </row>
    <row r="162" spans="2:19" x14ac:dyDescent="0.3">
      <c r="B162" s="47"/>
      <c r="C162" s="13"/>
      <c r="D162" s="16">
        <f>'annuity example'!E23</f>
        <v>127.83258505732788</v>
      </c>
      <c r="E162" s="34">
        <f t="shared" si="19"/>
        <v>0.15</v>
      </c>
      <c r="F162" s="11">
        <f t="shared" si="20"/>
        <v>11</v>
      </c>
      <c r="G162" s="61">
        <f t="shared" si="15"/>
        <v>0.16</v>
      </c>
      <c r="H162" s="79">
        <f t="shared" si="16"/>
        <v>17.576980445382581</v>
      </c>
      <c r="I162" s="79">
        <f t="shared" si="17"/>
        <v>1.7044344674310383</v>
      </c>
      <c r="J162" s="123">
        <f t="shared" si="18"/>
        <v>19.28141491281362</v>
      </c>
      <c r="N162" s="190"/>
      <c r="O162" s="194"/>
      <c r="P162" s="190"/>
      <c r="Q162" s="194"/>
      <c r="R162" s="190"/>
      <c r="S162" s="195"/>
    </row>
    <row r="163" spans="2:19" x14ac:dyDescent="0.3">
      <c r="B163" s="47"/>
      <c r="C163" s="13"/>
      <c r="D163" s="16">
        <f>'annuity example'!E24</f>
        <v>129.43049237054447</v>
      </c>
      <c r="E163" s="34">
        <f t="shared" si="19"/>
        <v>0.15</v>
      </c>
      <c r="F163" s="11">
        <f t="shared" si="20"/>
        <v>12</v>
      </c>
      <c r="G163" s="61">
        <f t="shared" si="15"/>
        <v>0.16</v>
      </c>
      <c r="H163" s="79">
        <f t="shared" si="16"/>
        <v>19.414573855581668</v>
      </c>
      <c r="I163" s="79">
        <f t="shared" si="17"/>
        <v>0</v>
      </c>
      <c r="J163" s="123">
        <f t="shared" si="18"/>
        <v>19.414573855581668</v>
      </c>
      <c r="N163" s="190"/>
      <c r="O163" s="194"/>
      <c r="P163" s="190"/>
      <c r="Q163" s="194"/>
      <c r="R163" s="190"/>
      <c r="S163" s="195"/>
    </row>
    <row r="164" spans="2:19" x14ac:dyDescent="0.3">
      <c r="B164" s="47"/>
      <c r="C164" s="13"/>
      <c r="D164" s="16">
        <f>'annuity example'!E25</f>
        <v>131.04837352517626</v>
      </c>
      <c r="E164" s="34">
        <f t="shared" si="19"/>
        <v>0.15</v>
      </c>
      <c r="F164" s="11">
        <f t="shared" si="20"/>
        <v>13</v>
      </c>
      <c r="G164" s="116" t="s">
        <v>76</v>
      </c>
      <c r="H164" s="118"/>
      <c r="I164" s="118"/>
      <c r="J164" s="124">
        <f>D164*E164</f>
        <v>19.657256028776438</v>
      </c>
      <c r="N164" s="190"/>
      <c r="O164" s="194"/>
      <c r="P164" s="190"/>
      <c r="Q164" s="194"/>
      <c r="R164" s="190"/>
      <c r="S164" s="195"/>
    </row>
    <row r="165" spans="2:19" outlineLevel="1" x14ac:dyDescent="0.3">
      <c r="B165" s="47"/>
      <c r="C165" s="13"/>
      <c r="D165" s="16">
        <f>'annuity example'!E26</f>
        <v>132.68647819424098</v>
      </c>
      <c r="E165" s="34">
        <f t="shared" si="19"/>
        <v>0.15</v>
      </c>
      <c r="F165" s="11">
        <f t="shared" si="20"/>
        <v>14</v>
      </c>
      <c r="G165" s="117"/>
      <c r="H165" s="118"/>
      <c r="I165" s="118"/>
      <c r="J165" s="124">
        <f t="shared" ref="J165:J211" si="21">D165*E165</f>
        <v>19.902971729136144</v>
      </c>
      <c r="N165" s="190"/>
      <c r="O165" s="194"/>
      <c r="P165" s="190"/>
      <c r="Q165" s="194"/>
      <c r="R165" s="190"/>
      <c r="S165" s="195"/>
    </row>
    <row r="166" spans="2:19" outlineLevel="1" x14ac:dyDescent="0.3">
      <c r="B166" s="47"/>
      <c r="C166" s="13"/>
      <c r="D166" s="16">
        <f>'annuity example'!E27</f>
        <v>134.34505917166899</v>
      </c>
      <c r="E166" s="34">
        <f t="shared" si="19"/>
        <v>0.15</v>
      </c>
      <c r="F166" s="11">
        <f t="shared" si="20"/>
        <v>15</v>
      </c>
      <c r="G166" s="117"/>
      <c r="H166" s="118"/>
      <c r="I166" s="118"/>
      <c r="J166" s="124">
        <f t="shared" si="21"/>
        <v>20.15175887575035</v>
      </c>
      <c r="N166" s="190"/>
      <c r="O166" s="194"/>
      <c r="P166" s="190"/>
      <c r="Q166" s="194"/>
      <c r="R166" s="190"/>
      <c r="S166" s="195"/>
    </row>
    <row r="167" spans="2:19" outlineLevel="1" x14ac:dyDescent="0.3">
      <c r="B167" s="47"/>
      <c r="C167" s="13"/>
      <c r="D167" s="16">
        <f>'annuity example'!E28</f>
        <v>136.02437241131486</v>
      </c>
      <c r="E167" s="34">
        <f t="shared" si="19"/>
        <v>0.15</v>
      </c>
      <c r="F167" s="11">
        <f t="shared" si="20"/>
        <v>16</v>
      </c>
      <c r="G167" s="117"/>
      <c r="H167" s="118"/>
      <c r="I167" s="118"/>
      <c r="J167" s="124">
        <f t="shared" si="21"/>
        <v>20.403655861697228</v>
      </c>
      <c r="N167" s="190"/>
      <c r="O167" s="194"/>
      <c r="P167" s="190"/>
      <c r="Q167" s="194"/>
      <c r="R167" s="190"/>
      <c r="S167" s="195"/>
    </row>
    <row r="168" spans="2:19" outlineLevel="1" x14ac:dyDescent="0.3">
      <c r="B168" s="47"/>
      <c r="C168" s="13"/>
      <c r="D168" s="16">
        <f>'annuity example'!E29</f>
        <v>137.72467706645628</v>
      </c>
      <c r="E168" s="34">
        <f t="shared" si="19"/>
        <v>0.15</v>
      </c>
      <c r="F168" s="11">
        <f t="shared" si="20"/>
        <v>17</v>
      </c>
      <c r="G168" s="117"/>
      <c r="H168" s="118"/>
      <c r="I168" s="118"/>
      <c r="J168" s="124">
        <f t="shared" si="21"/>
        <v>20.658701559968442</v>
      </c>
      <c r="N168" s="190"/>
      <c r="O168" s="194"/>
      <c r="P168" s="190"/>
      <c r="Q168" s="194"/>
      <c r="R168" s="190"/>
      <c r="S168" s="195"/>
    </row>
    <row r="169" spans="2:19" outlineLevel="1" x14ac:dyDescent="0.3">
      <c r="B169" s="47"/>
      <c r="C169" s="13"/>
      <c r="D169" s="16">
        <f>'annuity example'!E30</f>
        <v>139.44623552978697</v>
      </c>
      <c r="E169" s="34">
        <f t="shared" si="19"/>
        <v>0.15</v>
      </c>
      <c r="F169" s="11">
        <f t="shared" si="20"/>
        <v>18</v>
      </c>
      <c r="G169" s="117"/>
      <c r="H169" s="118"/>
      <c r="I169" s="118"/>
      <c r="J169" s="124">
        <f t="shared" si="21"/>
        <v>20.916935329468046</v>
      </c>
      <c r="N169" s="190"/>
      <c r="O169" s="194"/>
      <c r="P169" s="190"/>
      <c r="Q169" s="194"/>
      <c r="R169" s="190"/>
      <c r="S169" s="195"/>
    </row>
    <row r="170" spans="2:19" outlineLevel="1" x14ac:dyDescent="0.3">
      <c r="B170" s="47"/>
      <c r="C170" s="13"/>
      <c r="D170" s="16">
        <f>'annuity example'!E31</f>
        <v>141.18931347390932</v>
      </c>
      <c r="E170" s="34">
        <f t="shared" si="19"/>
        <v>0.15</v>
      </c>
      <c r="F170" s="11">
        <f t="shared" si="20"/>
        <v>19</v>
      </c>
      <c r="G170" s="117"/>
      <c r="H170" s="118"/>
      <c r="I170" s="118"/>
      <c r="J170" s="124">
        <f t="shared" si="21"/>
        <v>21.178397021086397</v>
      </c>
      <c r="N170" s="190"/>
      <c r="O170" s="194"/>
      <c r="P170" s="190"/>
      <c r="Q170" s="194"/>
      <c r="R170" s="190"/>
      <c r="S170" s="195"/>
    </row>
    <row r="171" spans="2:19" outlineLevel="1" x14ac:dyDescent="0.3">
      <c r="B171" s="47"/>
      <c r="C171" s="13"/>
      <c r="D171" s="16">
        <f>'annuity example'!E32</f>
        <v>142.95417989233317</v>
      </c>
      <c r="E171" s="34">
        <f t="shared" si="19"/>
        <v>0.15</v>
      </c>
      <c r="F171" s="11">
        <f t="shared" si="20"/>
        <v>20</v>
      </c>
      <c r="G171" s="117"/>
      <c r="H171" s="118"/>
      <c r="I171" s="118"/>
      <c r="J171" s="124">
        <f t="shared" si="21"/>
        <v>21.443126983849975</v>
      </c>
      <c r="N171" s="190"/>
      <c r="O171" s="194"/>
      <c r="P171" s="190"/>
      <c r="Q171" s="194"/>
      <c r="R171" s="190"/>
      <c r="S171" s="195"/>
    </row>
    <row r="172" spans="2:19" outlineLevel="1" x14ac:dyDescent="0.3">
      <c r="B172" s="47"/>
      <c r="C172" s="13"/>
      <c r="D172" s="16">
        <f>'annuity example'!E33</f>
        <v>144.74110714098737</v>
      </c>
      <c r="E172" s="34">
        <f t="shared" si="19"/>
        <v>0.15</v>
      </c>
      <c r="F172" s="11">
        <f t="shared" si="20"/>
        <v>21</v>
      </c>
      <c r="G172" s="117"/>
      <c r="H172" s="118"/>
      <c r="I172" s="118"/>
      <c r="J172" s="124">
        <f t="shared" si="21"/>
        <v>21.711166071148103</v>
      </c>
      <c r="N172" s="190"/>
      <c r="O172" s="194"/>
      <c r="P172" s="190"/>
      <c r="Q172" s="194"/>
      <c r="R172" s="190"/>
      <c r="S172" s="195"/>
    </row>
    <row r="173" spans="2:19" outlineLevel="1" x14ac:dyDescent="0.3">
      <c r="B173" s="47"/>
      <c r="C173" s="13"/>
      <c r="D173" s="16">
        <f>'annuity example'!E34</f>
        <v>146.55037098024968</v>
      </c>
      <c r="E173" s="34">
        <f t="shared" si="19"/>
        <v>0.15</v>
      </c>
      <c r="F173" s="11">
        <f t="shared" si="20"/>
        <v>22</v>
      </c>
      <c r="G173" s="117"/>
      <c r="H173" s="118"/>
      <c r="I173" s="118"/>
      <c r="J173" s="124">
        <f t="shared" si="21"/>
        <v>21.982555647037451</v>
      </c>
      <c r="N173" s="190"/>
      <c r="O173" s="194"/>
      <c r="P173" s="190"/>
      <c r="Q173" s="194"/>
      <c r="R173" s="190"/>
      <c r="S173" s="195"/>
    </row>
    <row r="174" spans="2:19" outlineLevel="1" x14ac:dyDescent="0.3">
      <c r="B174" s="47"/>
      <c r="C174" s="13"/>
      <c r="D174" s="16">
        <f>'annuity example'!E35</f>
        <v>148.38225061750279</v>
      </c>
      <c r="E174" s="34">
        <f t="shared" si="19"/>
        <v>0.15</v>
      </c>
      <c r="F174" s="11">
        <f t="shared" si="20"/>
        <v>23</v>
      </c>
      <c r="G174" s="117"/>
      <c r="H174" s="118"/>
      <c r="I174" s="118"/>
      <c r="J174" s="124">
        <f t="shared" si="21"/>
        <v>22.257337592625419</v>
      </c>
      <c r="N174" s="190"/>
      <c r="O174" s="194"/>
      <c r="P174" s="190"/>
      <c r="Q174" s="194"/>
      <c r="R174" s="190"/>
      <c r="S174" s="195"/>
    </row>
    <row r="175" spans="2:19" outlineLevel="1" x14ac:dyDescent="0.3">
      <c r="B175" s="47"/>
      <c r="C175" s="13"/>
      <c r="D175" s="16">
        <f>'annuity example'!E36</f>
        <v>150.23702875022161</v>
      </c>
      <c r="E175" s="34">
        <f t="shared" si="19"/>
        <v>0.15</v>
      </c>
      <c r="F175" s="11">
        <f t="shared" si="20"/>
        <v>24</v>
      </c>
      <c r="G175" s="117"/>
      <c r="H175" s="118"/>
      <c r="I175" s="118"/>
      <c r="J175" s="124">
        <f t="shared" si="21"/>
        <v>22.53555431253324</v>
      </c>
      <c r="N175" s="190"/>
      <c r="O175" s="194"/>
      <c r="P175" s="190"/>
      <c r="Q175" s="194"/>
      <c r="R175" s="190"/>
      <c r="S175" s="195"/>
    </row>
    <row r="176" spans="2:19" outlineLevel="1" x14ac:dyDescent="0.3">
      <c r="B176" s="47"/>
      <c r="C176" s="13"/>
      <c r="D176" s="16">
        <f>'annuity example'!E37</f>
        <v>152.11499160959937</v>
      </c>
      <c r="E176" s="34">
        <f t="shared" si="19"/>
        <v>0.15</v>
      </c>
      <c r="F176" s="11">
        <f t="shared" si="20"/>
        <v>25</v>
      </c>
      <c r="G176" s="117"/>
      <c r="H176" s="118"/>
      <c r="I176" s="118"/>
      <c r="J176" s="124">
        <f t="shared" si="21"/>
        <v>22.817248741439904</v>
      </c>
      <c r="N176" s="190"/>
      <c r="O176" s="194"/>
      <c r="P176" s="190"/>
      <c r="Q176" s="194"/>
      <c r="R176" s="190"/>
      <c r="S176" s="195"/>
    </row>
    <row r="177" spans="2:19" outlineLevel="1" x14ac:dyDescent="0.3">
      <c r="B177" s="47"/>
      <c r="C177" s="13"/>
      <c r="D177" s="16">
        <f>'annuity example'!E38</f>
        <v>154.01642900471936</v>
      </c>
      <c r="E177" s="34">
        <f t="shared" si="19"/>
        <v>0.15</v>
      </c>
      <c r="F177" s="11">
        <f t="shared" si="20"/>
        <v>26</v>
      </c>
      <c r="G177" s="117"/>
      <c r="H177" s="118"/>
      <c r="I177" s="118"/>
      <c r="J177" s="124">
        <f t="shared" si="21"/>
        <v>23.102464350707901</v>
      </c>
      <c r="N177" s="190"/>
      <c r="O177" s="194"/>
      <c r="P177" s="190"/>
      <c r="Q177" s="194"/>
      <c r="R177" s="190"/>
      <c r="S177" s="195"/>
    </row>
    <row r="178" spans="2:19" outlineLevel="1" x14ac:dyDescent="0.3">
      <c r="B178" s="47"/>
      <c r="C178" s="13"/>
      <c r="D178" s="16">
        <f>'annuity example'!E39</f>
        <v>155.94163436727837</v>
      </c>
      <c r="E178" s="34">
        <f t="shared" si="19"/>
        <v>0.15</v>
      </c>
      <c r="F178" s="11">
        <f t="shared" si="20"/>
        <v>27</v>
      </c>
      <c r="G178" s="117"/>
      <c r="H178" s="118"/>
      <c r="I178" s="118"/>
      <c r="J178" s="124">
        <f t="shared" si="21"/>
        <v>23.391245155091756</v>
      </c>
      <c r="N178" s="190"/>
      <c r="O178" s="194"/>
      <c r="P178" s="190"/>
      <c r="Q178" s="194"/>
      <c r="R178" s="190"/>
      <c r="S178" s="195"/>
    </row>
    <row r="179" spans="2:19" outlineLevel="1" x14ac:dyDescent="0.3">
      <c r="B179" s="47"/>
      <c r="C179" s="13"/>
      <c r="D179" s="16">
        <f>'annuity example'!E40</f>
        <v>157.89090479686934</v>
      </c>
      <c r="E179" s="34">
        <f t="shared" si="19"/>
        <v>0.15</v>
      </c>
      <c r="F179" s="11">
        <f t="shared" si="20"/>
        <v>28</v>
      </c>
      <c r="G179" s="117"/>
      <c r="H179" s="118"/>
      <c r="I179" s="118"/>
      <c r="J179" s="124">
        <f t="shared" si="21"/>
        <v>23.6836357195304</v>
      </c>
      <c r="N179" s="190"/>
      <c r="O179" s="194"/>
      <c r="P179" s="190"/>
      <c r="Q179" s="194"/>
      <c r="R179" s="190"/>
      <c r="S179" s="195"/>
    </row>
    <row r="180" spans="2:19" outlineLevel="1" x14ac:dyDescent="0.3">
      <c r="B180" s="47"/>
      <c r="C180" s="13"/>
      <c r="D180" s="16">
        <f>'annuity example'!E41</f>
        <v>159.86454110683019</v>
      </c>
      <c r="E180" s="34">
        <f t="shared" si="19"/>
        <v>0.15</v>
      </c>
      <c r="F180" s="11">
        <f t="shared" si="20"/>
        <v>29</v>
      </c>
      <c r="G180" s="117"/>
      <c r="H180" s="118"/>
      <c r="I180" s="118"/>
      <c r="J180" s="124">
        <f t="shared" si="21"/>
        <v>23.979681166024527</v>
      </c>
      <c r="N180" s="190"/>
      <c r="O180" s="194"/>
      <c r="P180" s="190"/>
      <c r="Q180" s="194"/>
      <c r="R180" s="190"/>
      <c r="S180" s="195"/>
    </row>
    <row r="181" spans="2:19" outlineLevel="1" x14ac:dyDescent="0.3">
      <c r="B181" s="47"/>
      <c r="C181" s="13"/>
      <c r="D181" s="16">
        <f>'annuity example'!E42</f>
        <v>161.86284787066558</v>
      </c>
      <c r="E181" s="34">
        <f t="shared" si="19"/>
        <v>0.15</v>
      </c>
      <c r="F181" s="11">
        <f t="shared" si="20"/>
        <v>30</v>
      </c>
      <c r="G181" s="117"/>
      <c r="H181" s="118"/>
      <c r="I181" s="118"/>
      <c r="J181" s="124">
        <f t="shared" si="21"/>
        <v>24.279427180599836</v>
      </c>
      <c r="N181" s="190"/>
      <c r="O181" s="194"/>
      <c r="P181" s="190"/>
      <c r="Q181" s="194"/>
      <c r="R181" s="190"/>
      <c r="S181" s="195"/>
    </row>
    <row r="182" spans="2:19" outlineLevel="1" x14ac:dyDescent="0.3">
      <c r="B182" s="47"/>
      <c r="C182" s="13"/>
      <c r="D182" s="16">
        <f>'annuity example'!E43</f>
        <v>163.8861334690489</v>
      </c>
      <c r="E182" s="34">
        <f t="shared" si="19"/>
        <v>0.15</v>
      </c>
      <c r="F182" s="11">
        <f t="shared" si="20"/>
        <v>31</v>
      </c>
      <c r="G182" s="117"/>
      <c r="H182" s="118"/>
      <c r="I182" s="118"/>
      <c r="J182" s="124">
        <f t="shared" si="21"/>
        <v>24.582920020357335</v>
      </c>
      <c r="N182" s="190"/>
      <c r="O182" s="194"/>
      <c r="P182" s="190"/>
      <c r="Q182" s="194"/>
      <c r="R182" s="190"/>
      <c r="S182" s="195"/>
    </row>
    <row r="183" spans="2:19" outlineLevel="1" x14ac:dyDescent="0.3">
      <c r="B183" s="47"/>
      <c r="C183" s="13"/>
      <c r="D183" s="16">
        <f>'annuity example'!E44</f>
        <v>165.93471013741203</v>
      </c>
      <c r="E183" s="34">
        <f t="shared" si="19"/>
        <v>0.15</v>
      </c>
      <c r="F183" s="11">
        <f t="shared" si="20"/>
        <v>32</v>
      </c>
      <c r="G183" s="117"/>
      <c r="H183" s="118"/>
      <c r="I183" s="118"/>
      <c r="J183" s="124">
        <f t="shared" si="21"/>
        <v>24.890206520611802</v>
      </c>
      <c r="N183" s="190"/>
      <c r="O183" s="194"/>
      <c r="P183" s="190"/>
      <c r="Q183" s="194"/>
      <c r="R183" s="190"/>
      <c r="S183" s="195"/>
    </row>
    <row r="184" spans="2:19" outlineLevel="1" x14ac:dyDescent="0.3">
      <c r="B184" s="47"/>
      <c r="C184" s="13"/>
      <c r="D184" s="16">
        <f>'annuity example'!E45</f>
        <v>168.00889401412968</v>
      </c>
      <c r="E184" s="34">
        <f t="shared" si="19"/>
        <v>0.15</v>
      </c>
      <c r="F184" s="11">
        <f t="shared" si="20"/>
        <v>33</v>
      </c>
      <c r="G184" s="117"/>
      <c r="H184" s="118"/>
      <c r="I184" s="118"/>
      <c r="J184" s="124">
        <f t="shared" si="21"/>
        <v>25.20133410211945</v>
      </c>
      <c r="N184" s="190"/>
      <c r="O184" s="194"/>
      <c r="P184" s="190"/>
      <c r="Q184" s="194"/>
      <c r="R184" s="190"/>
      <c r="S184" s="195"/>
    </row>
    <row r="185" spans="2:19" outlineLevel="1" x14ac:dyDescent="0.3">
      <c r="B185" s="47"/>
      <c r="C185" s="13"/>
      <c r="D185" s="16">
        <f>'annuity example'!E46</f>
        <v>170.10900518930629</v>
      </c>
      <c r="E185" s="34">
        <f t="shared" si="19"/>
        <v>0.15</v>
      </c>
      <c r="F185" s="11">
        <f t="shared" si="20"/>
        <v>34</v>
      </c>
      <c r="G185" s="117"/>
      <c r="H185" s="118"/>
      <c r="I185" s="118"/>
      <c r="J185" s="124">
        <f t="shared" si="21"/>
        <v>25.516350778395942</v>
      </c>
      <c r="N185" s="190"/>
      <c r="O185" s="194"/>
      <c r="P185" s="190"/>
      <c r="Q185" s="194"/>
      <c r="R185" s="190"/>
      <c r="S185" s="195"/>
    </row>
    <row r="186" spans="2:19" outlineLevel="1" x14ac:dyDescent="0.3">
      <c r="B186" s="47"/>
      <c r="C186" s="13"/>
      <c r="D186" s="16">
        <f>'annuity example'!E47</f>
        <v>172.23536775417261</v>
      </c>
      <c r="E186" s="34">
        <f t="shared" si="19"/>
        <v>0.15</v>
      </c>
      <c r="F186" s="11">
        <f t="shared" si="20"/>
        <v>35</v>
      </c>
      <c r="G186" s="117"/>
      <c r="H186" s="118"/>
      <c r="I186" s="118"/>
      <c r="J186" s="124">
        <f t="shared" si="21"/>
        <v>25.835305163125891</v>
      </c>
      <c r="N186" s="190"/>
      <c r="O186" s="194"/>
      <c r="P186" s="190"/>
      <c r="Q186" s="194"/>
      <c r="R186" s="190"/>
      <c r="S186" s="195"/>
    </row>
    <row r="187" spans="2:19" outlineLevel="1" x14ac:dyDescent="0.3">
      <c r="B187" s="47"/>
      <c r="C187" s="13"/>
      <c r="D187" s="16">
        <f>'annuity example'!E48</f>
        <v>174.38830985109976</v>
      </c>
      <c r="E187" s="34">
        <f t="shared" si="19"/>
        <v>0.15</v>
      </c>
      <c r="F187" s="11">
        <f t="shared" si="20"/>
        <v>36</v>
      </c>
      <c r="G187" s="117"/>
      <c r="H187" s="118"/>
      <c r="I187" s="118"/>
      <c r="J187" s="124">
        <f t="shared" si="21"/>
        <v>26.158246477664964</v>
      </c>
      <c r="N187" s="190"/>
      <c r="O187" s="194"/>
      <c r="P187" s="190"/>
      <c r="Q187" s="194"/>
      <c r="R187" s="190"/>
      <c r="S187" s="195"/>
    </row>
    <row r="188" spans="2:19" outlineLevel="1" x14ac:dyDescent="0.3">
      <c r="B188" s="47"/>
      <c r="C188" s="13"/>
      <c r="D188" s="16">
        <f>'annuity example'!E49</f>
        <v>176.5681637242385</v>
      </c>
      <c r="E188" s="34">
        <f t="shared" si="19"/>
        <v>0.15</v>
      </c>
      <c r="F188" s="11">
        <f t="shared" si="20"/>
        <v>37</v>
      </c>
      <c r="G188" s="117"/>
      <c r="H188" s="118"/>
      <c r="I188" s="118"/>
      <c r="J188" s="124">
        <f t="shared" si="21"/>
        <v>26.485224558635775</v>
      </c>
      <c r="N188" s="190"/>
      <c r="O188" s="194"/>
      <c r="P188" s="190"/>
      <c r="Q188" s="194"/>
      <c r="R188" s="190"/>
      <c r="S188" s="195"/>
    </row>
    <row r="189" spans="2:19" outlineLevel="1" x14ac:dyDescent="0.3">
      <c r="B189" s="47"/>
      <c r="C189" s="13"/>
      <c r="D189" s="16">
        <f>'annuity example'!E50</f>
        <v>178.77526577079149</v>
      </c>
      <c r="E189" s="34">
        <f t="shared" si="19"/>
        <v>0.15</v>
      </c>
      <c r="F189" s="11">
        <f t="shared" si="20"/>
        <v>38</v>
      </c>
      <c r="G189" s="117"/>
      <c r="H189" s="118"/>
      <c r="I189" s="118"/>
      <c r="J189" s="124">
        <f t="shared" si="21"/>
        <v>26.816289865618725</v>
      </c>
      <c r="N189" s="190"/>
      <c r="O189" s="194"/>
      <c r="P189" s="190"/>
      <c r="Q189" s="194"/>
      <c r="R189" s="190"/>
      <c r="S189" s="195"/>
    </row>
    <row r="190" spans="2:19" outlineLevel="1" x14ac:dyDescent="0.3">
      <c r="B190" s="47"/>
      <c r="C190" s="13"/>
      <c r="D190" s="16">
        <f>'annuity example'!E51</f>
        <v>181.00995659292639</v>
      </c>
      <c r="E190" s="34">
        <f t="shared" si="19"/>
        <v>0.15</v>
      </c>
      <c r="F190" s="11">
        <f t="shared" si="20"/>
        <v>39</v>
      </c>
      <c r="G190" s="117"/>
      <c r="H190" s="118"/>
      <c r="I190" s="118"/>
      <c r="J190" s="124">
        <f t="shared" si="21"/>
        <v>27.151493488938957</v>
      </c>
      <c r="N190" s="190"/>
      <c r="O190" s="194"/>
      <c r="P190" s="190"/>
      <c r="Q190" s="194"/>
      <c r="R190" s="190"/>
      <c r="S190" s="195"/>
    </row>
    <row r="191" spans="2:19" outlineLevel="1" x14ac:dyDescent="0.3">
      <c r="B191" s="47"/>
      <c r="C191" s="13"/>
      <c r="D191" s="16">
        <f>'annuity example'!E52</f>
        <v>183.27258105033798</v>
      </c>
      <c r="E191" s="34">
        <f t="shared" si="19"/>
        <v>0.15</v>
      </c>
      <c r="F191" s="11">
        <f t="shared" si="20"/>
        <v>40</v>
      </c>
      <c r="G191" s="117"/>
      <c r="H191" s="118"/>
      <c r="I191" s="118"/>
      <c r="J191" s="124">
        <f t="shared" si="21"/>
        <v>27.490887157550695</v>
      </c>
      <c r="N191" s="190"/>
      <c r="O191" s="194"/>
      <c r="P191" s="190"/>
      <c r="Q191" s="194"/>
      <c r="R191" s="190"/>
      <c r="S191" s="195"/>
    </row>
    <row r="192" spans="2:19" outlineLevel="1" x14ac:dyDescent="0.3">
      <c r="B192" s="47"/>
      <c r="C192" s="13"/>
      <c r="D192" s="16">
        <f>'annuity example'!E53</f>
        <v>185.56348831346719</v>
      </c>
      <c r="E192" s="34">
        <f t="shared" si="19"/>
        <v>0.15</v>
      </c>
      <c r="F192" s="11">
        <f t="shared" si="20"/>
        <v>41</v>
      </c>
      <c r="G192" s="117"/>
      <c r="H192" s="118"/>
      <c r="I192" s="118"/>
      <c r="J192" s="124">
        <f t="shared" si="21"/>
        <v>27.834523247020076</v>
      </c>
      <c r="N192" s="190"/>
      <c r="O192" s="194"/>
      <c r="P192" s="190"/>
      <c r="Q192" s="194"/>
      <c r="R192" s="190"/>
      <c r="S192" s="195"/>
    </row>
    <row r="193" spans="2:19" outlineLevel="1" x14ac:dyDescent="0.3">
      <c r="B193" s="47"/>
      <c r="C193" s="13"/>
      <c r="D193" s="16">
        <f>'annuity example'!E54</f>
        <v>187.88303191738552</v>
      </c>
      <c r="E193" s="34">
        <f t="shared" si="19"/>
        <v>0.15</v>
      </c>
      <c r="F193" s="11">
        <f t="shared" si="20"/>
        <v>42</v>
      </c>
      <c r="G193" s="117"/>
      <c r="H193" s="118"/>
      <c r="I193" s="118"/>
      <c r="J193" s="124">
        <f t="shared" si="21"/>
        <v>28.182454787607828</v>
      </c>
      <c r="N193" s="190"/>
      <c r="O193" s="194"/>
      <c r="P193" s="190"/>
      <c r="Q193" s="194"/>
      <c r="R193" s="190"/>
      <c r="S193" s="195"/>
    </row>
    <row r="194" spans="2:19" outlineLevel="1" x14ac:dyDescent="0.3">
      <c r="B194" s="47"/>
      <c r="C194" s="13"/>
      <c r="D194" s="16">
        <f>'annuity example'!E55</f>
        <v>190.23156981635285</v>
      </c>
      <c r="E194" s="34">
        <f t="shared" si="19"/>
        <v>0.15</v>
      </c>
      <c r="F194" s="11">
        <f t="shared" si="20"/>
        <v>43</v>
      </c>
      <c r="G194" s="117"/>
      <c r="H194" s="118"/>
      <c r="I194" s="118"/>
      <c r="J194" s="124">
        <f t="shared" si="21"/>
        <v>28.534735472452926</v>
      </c>
      <c r="N194" s="190"/>
      <c r="O194" s="194"/>
      <c r="P194" s="190"/>
      <c r="Q194" s="194"/>
      <c r="R194" s="190"/>
      <c r="S194" s="195"/>
    </row>
    <row r="195" spans="2:19" outlineLevel="1" x14ac:dyDescent="0.3">
      <c r="B195" s="47"/>
      <c r="C195" s="13"/>
      <c r="D195" s="16">
        <f>'annuity example'!E56</f>
        <v>192.60946443905726</v>
      </c>
      <c r="E195" s="34">
        <f t="shared" si="19"/>
        <v>0.15</v>
      </c>
      <c r="F195" s="11">
        <f t="shared" si="20"/>
        <v>44</v>
      </c>
      <c r="G195" s="117"/>
      <c r="H195" s="118"/>
      <c r="I195" s="118"/>
      <c r="J195" s="124">
        <f t="shared" si="21"/>
        <v>28.891419665858589</v>
      </c>
      <c r="N195" s="190"/>
      <c r="O195" s="194"/>
      <c r="P195" s="190"/>
      <c r="Q195" s="194"/>
      <c r="R195" s="190"/>
      <c r="S195" s="195"/>
    </row>
    <row r="196" spans="2:19" outlineLevel="1" x14ac:dyDescent="0.3">
      <c r="B196" s="47"/>
      <c r="C196" s="13"/>
      <c r="D196" s="16">
        <f>'annuity example'!E57</f>
        <v>195.01708274454546</v>
      </c>
      <c r="E196" s="34">
        <f t="shared" si="19"/>
        <v>0.15</v>
      </c>
      <c r="F196" s="11">
        <f t="shared" si="20"/>
        <v>45</v>
      </c>
      <c r="G196" s="117"/>
      <c r="H196" s="118"/>
      <c r="I196" s="118"/>
      <c r="J196" s="124">
        <f t="shared" si="21"/>
        <v>29.252562411681819</v>
      </c>
      <c r="N196" s="190"/>
      <c r="O196" s="194"/>
      <c r="P196" s="190"/>
      <c r="Q196" s="194"/>
      <c r="R196" s="190"/>
      <c r="S196" s="195"/>
    </row>
    <row r="197" spans="2:19" outlineLevel="1" x14ac:dyDescent="0.3">
      <c r="B197" s="47"/>
      <c r="C197" s="13"/>
      <c r="D197" s="16">
        <f>'annuity example'!E58</f>
        <v>197.45479627885229</v>
      </c>
      <c r="E197" s="34">
        <f t="shared" si="19"/>
        <v>0.15</v>
      </c>
      <c r="F197" s="11">
        <f t="shared" si="20"/>
        <v>46</v>
      </c>
      <c r="G197" s="117"/>
      <c r="H197" s="118"/>
      <c r="I197" s="118"/>
      <c r="J197" s="124">
        <f t="shared" si="21"/>
        <v>29.61821944182784</v>
      </c>
      <c r="N197" s="190"/>
      <c r="O197" s="194"/>
      <c r="P197" s="190"/>
      <c r="Q197" s="194"/>
      <c r="R197" s="190"/>
      <c r="S197" s="195"/>
    </row>
    <row r="198" spans="2:19" outlineLevel="1" x14ac:dyDescent="0.3">
      <c r="B198" s="47"/>
      <c r="C198" s="13"/>
      <c r="D198" s="16">
        <f>'annuity example'!E59</f>
        <v>199.92298123233795</v>
      </c>
      <c r="E198" s="34">
        <f t="shared" si="19"/>
        <v>0.15</v>
      </c>
      <c r="F198" s="11">
        <f t="shared" si="20"/>
        <v>47</v>
      </c>
      <c r="G198" s="117"/>
      <c r="H198" s="118"/>
      <c r="I198" s="118"/>
      <c r="J198" s="124">
        <f t="shared" si="21"/>
        <v>29.988447184850692</v>
      </c>
      <c r="N198" s="190"/>
      <c r="O198" s="194"/>
      <c r="P198" s="190"/>
      <c r="Q198" s="194"/>
      <c r="R198" s="190"/>
      <c r="S198" s="195"/>
    </row>
    <row r="199" spans="2:19" outlineLevel="1" x14ac:dyDescent="0.3">
      <c r="B199" s="47"/>
      <c r="C199" s="13"/>
      <c r="D199" s="16">
        <f>'annuity example'!E60</f>
        <v>202.42201849774216</v>
      </c>
      <c r="E199" s="34">
        <f t="shared" si="19"/>
        <v>0.15</v>
      </c>
      <c r="F199" s="11">
        <f t="shared" si="20"/>
        <v>48</v>
      </c>
      <c r="G199" s="117"/>
      <c r="H199" s="118"/>
      <c r="I199" s="118"/>
      <c r="J199" s="124">
        <f t="shared" si="21"/>
        <v>30.363302774661321</v>
      </c>
      <c r="N199" s="190"/>
      <c r="O199" s="194"/>
      <c r="P199" s="190"/>
      <c r="Q199" s="194"/>
      <c r="R199" s="190"/>
      <c r="S199" s="195"/>
    </row>
    <row r="200" spans="2:19" outlineLevel="1" x14ac:dyDescent="0.3">
      <c r="B200" s="47"/>
      <c r="C200" s="13"/>
      <c r="D200" s="16">
        <f>'annuity example'!E61</f>
        <v>204.95229372896395</v>
      </c>
      <c r="E200" s="34">
        <f t="shared" si="19"/>
        <v>0.15</v>
      </c>
      <c r="F200" s="11">
        <f t="shared" si="20"/>
        <v>49</v>
      </c>
      <c r="G200" s="117"/>
      <c r="H200" s="118"/>
      <c r="I200" s="118"/>
      <c r="J200" s="124">
        <f t="shared" si="21"/>
        <v>30.742844059344591</v>
      </c>
      <c r="N200" s="190"/>
      <c r="O200" s="194"/>
      <c r="P200" s="190"/>
      <c r="Q200" s="194"/>
      <c r="R200" s="190"/>
      <c r="S200" s="195"/>
    </row>
    <row r="201" spans="2:19" outlineLevel="1" x14ac:dyDescent="0.3">
      <c r="B201" s="47"/>
      <c r="C201" s="13"/>
      <c r="D201" s="16">
        <f>'annuity example'!E62</f>
        <v>207.51419740057599</v>
      </c>
      <c r="E201" s="34">
        <f t="shared" si="19"/>
        <v>0.15</v>
      </c>
      <c r="F201" s="11">
        <f t="shared" si="20"/>
        <v>50</v>
      </c>
      <c r="G201" s="117"/>
      <c r="H201" s="118"/>
      <c r="I201" s="118"/>
      <c r="J201" s="124">
        <f t="shared" si="21"/>
        <v>31.127129610086399</v>
      </c>
      <c r="N201" s="190"/>
      <c r="O201" s="194"/>
      <c r="P201" s="190"/>
      <c r="Q201" s="194"/>
      <c r="R201" s="190"/>
      <c r="S201" s="195"/>
    </row>
    <row r="202" spans="2:19" outlineLevel="1" x14ac:dyDescent="0.3">
      <c r="B202" s="47"/>
      <c r="C202" s="13"/>
      <c r="D202" s="16">
        <f>'annuity example'!E63</f>
        <v>210.10812486808319</v>
      </c>
      <c r="E202" s="34">
        <f t="shared" si="19"/>
        <v>0.15</v>
      </c>
      <c r="F202" s="11">
        <f t="shared" si="20"/>
        <v>51</v>
      </c>
      <c r="G202" s="117"/>
      <c r="H202" s="118"/>
      <c r="I202" s="118"/>
      <c r="J202" s="124">
        <f t="shared" si="21"/>
        <v>31.516218730212479</v>
      </c>
      <c r="N202" s="190"/>
      <c r="O202" s="194"/>
      <c r="P202" s="190"/>
      <c r="Q202" s="194"/>
      <c r="R202" s="190"/>
      <c r="S202" s="195"/>
    </row>
    <row r="203" spans="2:19" outlineLevel="1" x14ac:dyDescent="0.3">
      <c r="B203" s="47"/>
      <c r="C203" s="13"/>
      <c r="D203" s="16">
        <f>'annuity example'!E64</f>
        <v>212.73447642893424</v>
      </c>
      <c r="E203" s="34">
        <f t="shared" si="19"/>
        <v>0.15</v>
      </c>
      <c r="F203" s="11">
        <f t="shared" si="20"/>
        <v>52</v>
      </c>
      <c r="G203" s="117"/>
      <c r="H203" s="118"/>
      <c r="I203" s="118"/>
      <c r="J203" s="124">
        <f t="shared" si="21"/>
        <v>31.910171464340134</v>
      </c>
      <c r="N203" s="190"/>
      <c r="O203" s="194"/>
      <c r="P203" s="190"/>
      <c r="Q203" s="194"/>
      <c r="R203" s="190"/>
      <c r="S203" s="195"/>
    </row>
    <row r="204" spans="2:19" outlineLevel="1" x14ac:dyDescent="0.3">
      <c r="B204" s="47"/>
      <c r="C204" s="13"/>
      <c r="D204" s="16">
        <f>'annuity example'!E65</f>
        <v>215.39365738429592</v>
      </c>
      <c r="E204" s="34">
        <f t="shared" si="19"/>
        <v>0.15</v>
      </c>
      <c r="F204" s="11">
        <f t="shared" si="20"/>
        <v>53</v>
      </c>
      <c r="G204" s="117"/>
      <c r="H204" s="118"/>
      <c r="I204" s="118"/>
      <c r="J204" s="124">
        <f t="shared" si="21"/>
        <v>32.309048607644385</v>
      </c>
      <c r="N204" s="190"/>
      <c r="O204" s="194"/>
      <c r="P204" s="190"/>
      <c r="Q204" s="194"/>
      <c r="R204" s="190"/>
      <c r="S204" s="195"/>
    </row>
    <row r="205" spans="2:19" outlineLevel="1" x14ac:dyDescent="0.3">
      <c r="B205" s="47"/>
      <c r="C205" s="13"/>
      <c r="D205" s="16">
        <f>'annuity example'!E66</f>
        <v>218.08607810159961</v>
      </c>
      <c r="E205" s="34">
        <f t="shared" si="19"/>
        <v>0.15</v>
      </c>
      <c r="F205" s="11">
        <f t="shared" si="20"/>
        <v>54</v>
      </c>
      <c r="G205" s="117"/>
      <c r="H205" s="118"/>
      <c r="I205" s="118"/>
      <c r="J205" s="124">
        <f t="shared" si="21"/>
        <v>32.71291171523994</v>
      </c>
      <c r="N205" s="190"/>
      <c r="O205" s="194"/>
      <c r="P205" s="190"/>
      <c r="Q205" s="194"/>
      <c r="R205" s="190"/>
      <c r="S205" s="195"/>
    </row>
    <row r="206" spans="2:19" outlineLevel="1" x14ac:dyDescent="0.3">
      <c r="B206" s="47"/>
      <c r="C206" s="13"/>
      <c r="D206" s="16">
        <f>'annuity example'!E67</f>
        <v>220.81215407786959</v>
      </c>
      <c r="E206" s="34">
        <f t="shared" si="19"/>
        <v>0.15</v>
      </c>
      <c r="F206" s="11">
        <f t="shared" si="20"/>
        <v>55</v>
      </c>
      <c r="G206" s="117"/>
      <c r="H206" s="118"/>
      <c r="I206" s="118"/>
      <c r="J206" s="124">
        <f t="shared" si="21"/>
        <v>33.121823111680435</v>
      </c>
      <c r="N206" s="190"/>
      <c r="O206" s="194"/>
      <c r="P206" s="190"/>
      <c r="Q206" s="194"/>
      <c r="R206" s="190"/>
      <c r="S206" s="195"/>
    </row>
    <row r="207" spans="2:19" outlineLevel="1" x14ac:dyDescent="0.3">
      <c r="B207" s="47"/>
      <c r="C207" s="13"/>
      <c r="D207" s="16">
        <f>'annuity example'!E68</f>
        <v>223.57230600384298</v>
      </c>
      <c r="E207" s="34">
        <f t="shared" si="19"/>
        <v>0.15</v>
      </c>
      <c r="F207" s="11">
        <f t="shared" si="20"/>
        <v>56</v>
      </c>
      <c r="G207" s="117"/>
      <c r="H207" s="118"/>
      <c r="I207" s="118"/>
      <c r="J207" s="124">
        <f t="shared" si="21"/>
        <v>33.535845900576447</v>
      </c>
      <c r="N207" s="190"/>
      <c r="O207" s="194"/>
      <c r="P207" s="190"/>
      <c r="Q207" s="194"/>
      <c r="R207" s="190"/>
      <c r="S207" s="195"/>
    </row>
    <row r="208" spans="2:19" outlineLevel="1" x14ac:dyDescent="0.3">
      <c r="B208" s="47"/>
      <c r="C208" s="13"/>
      <c r="D208" s="16">
        <f>'annuity example'!E69</f>
        <v>226.36695982889103</v>
      </c>
      <c r="E208" s="34">
        <f t="shared" si="19"/>
        <v>0.15</v>
      </c>
      <c r="F208" s="11">
        <f t="shared" si="20"/>
        <v>57</v>
      </c>
      <c r="G208" s="117"/>
      <c r="H208" s="118"/>
      <c r="I208" s="118"/>
      <c r="J208" s="124">
        <f t="shared" si="21"/>
        <v>33.955043974333655</v>
      </c>
      <c r="N208" s="190"/>
      <c r="O208" s="194"/>
      <c r="P208" s="190"/>
      <c r="Q208" s="194"/>
      <c r="R208" s="190"/>
      <c r="S208" s="195"/>
    </row>
    <row r="209" spans="2:19" outlineLevel="1" x14ac:dyDescent="0.3">
      <c r="B209" s="47"/>
      <c r="C209" s="13"/>
      <c r="D209" s="16">
        <f>'annuity example'!E70</f>
        <v>229.19654682675215</v>
      </c>
      <c r="E209" s="34">
        <f t="shared" si="19"/>
        <v>0.15</v>
      </c>
      <c r="F209" s="11">
        <f t="shared" si="20"/>
        <v>58</v>
      </c>
      <c r="G209" s="117"/>
      <c r="H209" s="118"/>
      <c r="I209" s="118"/>
      <c r="J209" s="124">
        <f t="shared" si="21"/>
        <v>34.379482024012823</v>
      </c>
      <c r="N209" s="190"/>
      <c r="O209" s="194"/>
      <c r="P209" s="190"/>
      <c r="Q209" s="194"/>
      <c r="R209" s="190"/>
      <c r="S209" s="195"/>
    </row>
    <row r="210" spans="2:19" outlineLevel="1" x14ac:dyDescent="0.3">
      <c r="B210" s="47"/>
      <c r="C210" s="13"/>
      <c r="D210" s="16">
        <f>'annuity example'!E71</f>
        <v>232.06150366208655</v>
      </c>
      <c r="E210" s="34">
        <f t="shared" si="19"/>
        <v>0.15</v>
      </c>
      <c r="F210" s="11">
        <f t="shared" si="20"/>
        <v>59</v>
      </c>
      <c r="G210" s="117"/>
      <c r="H210" s="118"/>
      <c r="I210" s="118"/>
      <c r="J210" s="124">
        <f t="shared" si="21"/>
        <v>34.809225549312984</v>
      </c>
      <c r="N210" s="190"/>
      <c r="O210" s="194"/>
      <c r="P210" s="190"/>
      <c r="Q210" s="194"/>
      <c r="R210" s="190"/>
      <c r="S210" s="195"/>
    </row>
    <row r="211" spans="2:19" outlineLevel="1" x14ac:dyDescent="0.3">
      <c r="B211" s="47"/>
      <c r="C211" s="13"/>
      <c r="D211" s="16">
        <f>'annuity example'!E72</f>
        <v>234.96227245786264</v>
      </c>
      <c r="E211" s="34">
        <f t="shared" si="19"/>
        <v>0.15</v>
      </c>
      <c r="F211" s="11">
        <f t="shared" si="20"/>
        <v>60</v>
      </c>
      <c r="G211" s="117"/>
      <c r="H211" s="118"/>
      <c r="I211" s="118"/>
      <c r="J211" s="124">
        <f t="shared" si="21"/>
        <v>35.244340868679394</v>
      </c>
      <c r="N211" s="190"/>
      <c r="O211" s="194"/>
      <c r="P211" s="190"/>
      <c r="Q211" s="194"/>
      <c r="R211" s="190"/>
      <c r="S211" s="195"/>
    </row>
    <row r="212" spans="2:19" ht="10.8" thickBot="1" x14ac:dyDescent="0.35">
      <c r="B212" s="129"/>
      <c r="C212" s="130" t="s">
        <v>75</v>
      </c>
      <c r="D212" s="131"/>
      <c r="E212" s="132"/>
      <c r="F212" s="133"/>
      <c r="G212" s="134"/>
      <c r="H212" s="135"/>
      <c r="I212" s="135"/>
      <c r="J212" s="136">
        <f>SUM(J152:J211)</f>
        <v>1506.4756135042669</v>
      </c>
      <c r="N212" s="190"/>
      <c r="O212" s="194"/>
      <c r="P212" s="190"/>
      <c r="Q212" s="194"/>
      <c r="R212" s="190"/>
      <c r="S212" s="195"/>
    </row>
    <row r="213" spans="2:19" x14ac:dyDescent="0.3">
      <c r="B213" s="42">
        <v>3</v>
      </c>
      <c r="C213" s="54" t="s">
        <v>12</v>
      </c>
      <c r="D213" s="86">
        <f>$C$22/($C$23*12)</f>
        <v>50</v>
      </c>
      <c r="E213" s="44">
        <f>$C$24</f>
        <v>0.14000000000000001</v>
      </c>
      <c r="F213" s="119">
        <v>1</v>
      </c>
      <c r="G213" s="120">
        <f>E213+1%</f>
        <v>0.15000000000000002</v>
      </c>
      <c r="H213" s="121">
        <f t="shared" ref="H213" si="22">F213/12*E213*D213</f>
        <v>0.58333333333333337</v>
      </c>
      <c r="I213" s="121">
        <f t="shared" ref="I213" si="23">(12-F213)/12*G213*D213</f>
        <v>6.8750000000000009</v>
      </c>
      <c r="J213" s="122">
        <f t="shared" ref="J213:J224" si="24">H213+I213</f>
        <v>7.4583333333333339</v>
      </c>
      <c r="N213" s="190"/>
      <c r="O213" s="194"/>
      <c r="P213" s="190"/>
      <c r="Q213" s="194"/>
      <c r="R213" s="190"/>
      <c r="S213" s="195"/>
    </row>
    <row r="214" spans="2:19" x14ac:dyDescent="0.3">
      <c r="B214" s="47"/>
      <c r="C214" s="12"/>
      <c r="D214" s="16">
        <f t="shared" ref="D214:D277" si="25">$C$22/($C$23*12)</f>
        <v>50</v>
      </c>
      <c r="E214" s="34">
        <f t="shared" ref="E214:E277" si="26">$C$24</f>
        <v>0.14000000000000001</v>
      </c>
      <c r="F214" s="11">
        <v>2</v>
      </c>
      <c r="G214" s="61">
        <f t="shared" ref="G214:G224" si="27">E214+1%</f>
        <v>0.15000000000000002</v>
      </c>
      <c r="H214" s="79">
        <f t="shared" ref="H214:H224" si="28">F214/12*E214*D214</f>
        <v>1.1666666666666667</v>
      </c>
      <c r="I214" s="79">
        <f t="shared" ref="I214:I224" si="29">(12-F214)/12*G214*D214</f>
        <v>6.2500000000000018</v>
      </c>
      <c r="J214" s="123">
        <f t="shared" si="24"/>
        <v>7.4166666666666687</v>
      </c>
      <c r="N214" s="190"/>
      <c r="O214" s="194"/>
      <c r="P214" s="190"/>
      <c r="Q214" s="194"/>
      <c r="R214" s="190"/>
      <c r="S214" s="195"/>
    </row>
    <row r="215" spans="2:19" x14ac:dyDescent="0.3">
      <c r="B215" s="47"/>
      <c r="C215" s="12"/>
      <c r="D215" s="16">
        <f t="shared" si="25"/>
        <v>50</v>
      </c>
      <c r="E215" s="34">
        <f t="shared" si="26"/>
        <v>0.14000000000000001</v>
      </c>
      <c r="F215" s="11">
        <f>F214+1</f>
        <v>3</v>
      </c>
      <c r="G215" s="61">
        <f t="shared" si="27"/>
        <v>0.15000000000000002</v>
      </c>
      <c r="H215" s="79">
        <f t="shared" si="28"/>
        <v>1.7500000000000002</v>
      </c>
      <c r="I215" s="79">
        <f t="shared" si="29"/>
        <v>5.6250000000000009</v>
      </c>
      <c r="J215" s="123">
        <f t="shared" si="24"/>
        <v>7.3750000000000009</v>
      </c>
      <c r="N215" s="190"/>
      <c r="O215" s="194"/>
      <c r="P215" s="190"/>
      <c r="Q215" s="194"/>
      <c r="R215" s="190"/>
      <c r="S215" s="195"/>
    </row>
    <row r="216" spans="2:19" x14ac:dyDescent="0.3">
      <c r="B216" s="47"/>
      <c r="C216" s="12"/>
      <c r="D216" s="16">
        <f t="shared" si="25"/>
        <v>50</v>
      </c>
      <c r="E216" s="34">
        <f t="shared" si="26"/>
        <v>0.14000000000000001</v>
      </c>
      <c r="F216" s="11">
        <f t="shared" ref="F216:F279" si="30">F215+1</f>
        <v>4</v>
      </c>
      <c r="G216" s="61">
        <f t="shared" si="27"/>
        <v>0.15000000000000002</v>
      </c>
      <c r="H216" s="79">
        <f t="shared" si="28"/>
        <v>2.3333333333333335</v>
      </c>
      <c r="I216" s="79">
        <f t="shared" si="29"/>
        <v>5</v>
      </c>
      <c r="J216" s="123">
        <f t="shared" si="24"/>
        <v>7.3333333333333339</v>
      </c>
      <c r="N216" s="190"/>
      <c r="O216" s="194"/>
      <c r="P216" s="190"/>
      <c r="Q216" s="194"/>
      <c r="R216" s="190"/>
      <c r="S216" s="195"/>
    </row>
    <row r="217" spans="2:19" x14ac:dyDescent="0.3">
      <c r="B217" s="47"/>
      <c r="C217" s="12"/>
      <c r="D217" s="16">
        <f t="shared" si="25"/>
        <v>50</v>
      </c>
      <c r="E217" s="34">
        <f t="shared" si="26"/>
        <v>0.14000000000000001</v>
      </c>
      <c r="F217" s="11">
        <f t="shared" si="30"/>
        <v>5</v>
      </c>
      <c r="G217" s="61">
        <f t="shared" si="27"/>
        <v>0.15000000000000002</v>
      </c>
      <c r="H217" s="79">
        <f t="shared" si="28"/>
        <v>2.916666666666667</v>
      </c>
      <c r="I217" s="79">
        <f t="shared" si="29"/>
        <v>4.3750000000000009</v>
      </c>
      <c r="J217" s="123">
        <f t="shared" si="24"/>
        <v>7.2916666666666679</v>
      </c>
      <c r="N217" s="190"/>
      <c r="O217" s="194"/>
      <c r="P217" s="190"/>
      <c r="Q217" s="194"/>
      <c r="R217" s="190"/>
      <c r="S217" s="195"/>
    </row>
    <row r="218" spans="2:19" x14ac:dyDescent="0.3">
      <c r="B218" s="47"/>
      <c r="C218" s="12"/>
      <c r="D218" s="16">
        <f t="shared" si="25"/>
        <v>50</v>
      </c>
      <c r="E218" s="34">
        <f t="shared" si="26"/>
        <v>0.14000000000000001</v>
      </c>
      <c r="F218" s="11">
        <f t="shared" si="30"/>
        <v>6</v>
      </c>
      <c r="G218" s="61">
        <f t="shared" si="27"/>
        <v>0.15000000000000002</v>
      </c>
      <c r="H218" s="79">
        <f t="shared" si="28"/>
        <v>3.5000000000000004</v>
      </c>
      <c r="I218" s="79">
        <f t="shared" si="29"/>
        <v>3.7500000000000004</v>
      </c>
      <c r="J218" s="123">
        <f t="shared" si="24"/>
        <v>7.2500000000000009</v>
      </c>
      <c r="N218" s="190"/>
      <c r="O218" s="194"/>
      <c r="P218" s="190"/>
      <c r="Q218" s="194"/>
      <c r="R218" s="190"/>
      <c r="S218" s="195"/>
    </row>
    <row r="219" spans="2:19" x14ac:dyDescent="0.3">
      <c r="B219" s="47"/>
      <c r="C219" s="12"/>
      <c r="D219" s="16">
        <f t="shared" si="25"/>
        <v>50</v>
      </c>
      <c r="E219" s="34">
        <f t="shared" si="26"/>
        <v>0.14000000000000001</v>
      </c>
      <c r="F219" s="11">
        <f t="shared" si="30"/>
        <v>7</v>
      </c>
      <c r="G219" s="61">
        <f t="shared" si="27"/>
        <v>0.15000000000000002</v>
      </c>
      <c r="H219" s="79">
        <f t="shared" si="28"/>
        <v>4.0833333333333339</v>
      </c>
      <c r="I219" s="79">
        <f t="shared" si="29"/>
        <v>3.1250000000000009</v>
      </c>
      <c r="J219" s="123">
        <f t="shared" si="24"/>
        <v>7.2083333333333348</v>
      </c>
      <c r="N219" s="190"/>
      <c r="O219" s="194"/>
      <c r="P219" s="190"/>
      <c r="Q219" s="194"/>
      <c r="R219" s="190"/>
      <c r="S219" s="195"/>
    </row>
    <row r="220" spans="2:19" x14ac:dyDescent="0.3">
      <c r="B220" s="47"/>
      <c r="C220" s="12"/>
      <c r="D220" s="16">
        <f t="shared" si="25"/>
        <v>50</v>
      </c>
      <c r="E220" s="34">
        <f t="shared" si="26"/>
        <v>0.14000000000000001</v>
      </c>
      <c r="F220" s="11">
        <f t="shared" si="30"/>
        <v>8</v>
      </c>
      <c r="G220" s="61">
        <f t="shared" si="27"/>
        <v>0.15000000000000002</v>
      </c>
      <c r="H220" s="79">
        <f t="shared" si="28"/>
        <v>4.666666666666667</v>
      </c>
      <c r="I220" s="79">
        <f t="shared" si="29"/>
        <v>2.5</v>
      </c>
      <c r="J220" s="123">
        <f t="shared" si="24"/>
        <v>7.166666666666667</v>
      </c>
      <c r="N220" s="190"/>
      <c r="O220" s="194"/>
      <c r="P220" s="190"/>
      <c r="Q220" s="194"/>
      <c r="R220" s="190"/>
      <c r="S220" s="195"/>
    </row>
    <row r="221" spans="2:19" x14ac:dyDescent="0.3">
      <c r="B221" s="47"/>
      <c r="C221" s="12"/>
      <c r="D221" s="16">
        <f t="shared" si="25"/>
        <v>50</v>
      </c>
      <c r="E221" s="34">
        <f t="shared" si="26"/>
        <v>0.14000000000000001</v>
      </c>
      <c r="F221" s="11">
        <f t="shared" si="30"/>
        <v>9</v>
      </c>
      <c r="G221" s="61">
        <f t="shared" si="27"/>
        <v>0.15000000000000002</v>
      </c>
      <c r="H221" s="79">
        <f t="shared" si="28"/>
        <v>5.2500000000000009</v>
      </c>
      <c r="I221" s="79">
        <f t="shared" si="29"/>
        <v>1.8750000000000002</v>
      </c>
      <c r="J221" s="123">
        <f t="shared" si="24"/>
        <v>7.1250000000000009</v>
      </c>
      <c r="N221" s="190"/>
      <c r="O221" s="194"/>
      <c r="P221" s="190"/>
      <c r="Q221" s="194"/>
      <c r="R221" s="190"/>
      <c r="S221" s="195"/>
    </row>
    <row r="222" spans="2:19" x14ac:dyDescent="0.3">
      <c r="B222" s="47"/>
      <c r="C222" s="12"/>
      <c r="D222" s="16">
        <f t="shared" si="25"/>
        <v>50</v>
      </c>
      <c r="E222" s="34">
        <f t="shared" si="26"/>
        <v>0.14000000000000001</v>
      </c>
      <c r="F222" s="11">
        <f t="shared" si="30"/>
        <v>10</v>
      </c>
      <c r="G222" s="61">
        <f t="shared" si="27"/>
        <v>0.15000000000000002</v>
      </c>
      <c r="H222" s="79">
        <f t="shared" si="28"/>
        <v>5.8333333333333339</v>
      </c>
      <c r="I222" s="79">
        <f t="shared" si="29"/>
        <v>1.25</v>
      </c>
      <c r="J222" s="123">
        <f t="shared" si="24"/>
        <v>7.0833333333333339</v>
      </c>
      <c r="N222" s="190"/>
      <c r="O222" s="194"/>
      <c r="P222" s="190"/>
      <c r="Q222" s="194"/>
      <c r="R222" s="190"/>
      <c r="S222" s="195"/>
    </row>
    <row r="223" spans="2:19" x14ac:dyDescent="0.3">
      <c r="B223" s="47"/>
      <c r="C223" s="12"/>
      <c r="D223" s="16">
        <f t="shared" si="25"/>
        <v>50</v>
      </c>
      <c r="E223" s="34">
        <f t="shared" si="26"/>
        <v>0.14000000000000001</v>
      </c>
      <c r="F223" s="11">
        <f t="shared" si="30"/>
        <v>11</v>
      </c>
      <c r="G223" s="61">
        <f t="shared" si="27"/>
        <v>0.15000000000000002</v>
      </c>
      <c r="H223" s="79">
        <f t="shared" si="28"/>
        <v>6.4166666666666661</v>
      </c>
      <c r="I223" s="79">
        <f t="shared" si="29"/>
        <v>0.625</v>
      </c>
      <c r="J223" s="123">
        <f t="shared" si="24"/>
        <v>7.0416666666666661</v>
      </c>
      <c r="N223" s="190"/>
      <c r="O223" s="194"/>
      <c r="P223" s="190"/>
      <c r="Q223" s="194"/>
      <c r="R223" s="190"/>
      <c r="S223" s="195"/>
    </row>
    <row r="224" spans="2:19" x14ac:dyDescent="0.3">
      <c r="B224" s="47"/>
      <c r="C224" s="12"/>
      <c r="D224" s="16">
        <f t="shared" si="25"/>
        <v>50</v>
      </c>
      <c r="E224" s="34">
        <f t="shared" si="26"/>
        <v>0.14000000000000001</v>
      </c>
      <c r="F224" s="11">
        <f t="shared" si="30"/>
        <v>12</v>
      </c>
      <c r="G224" s="61">
        <f t="shared" si="27"/>
        <v>0.15000000000000002</v>
      </c>
      <c r="H224" s="79">
        <f t="shared" si="28"/>
        <v>7.0000000000000009</v>
      </c>
      <c r="I224" s="79">
        <f t="shared" si="29"/>
        <v>0</v>
      </c>
      <c r="J224" s="123">
        <f t="shared" si="24"/>
        <v>7.0000000000000009</v>
      </c>
      <c r="N224" s="190"/>
      <c r="O224" s="194"/>
      <c r="P224" s="190"/>
      <c r="Q224" s="194"/>
      <c r="R224" s="190"/>
      <c r="S224" s="195"/>
    </row>
    <row r="225" spans="2:19" x14ac:dyDescent="0.3">
      <c r="B225" s="47"/>
      <c r="C225" s="12"/>
      <c r="D225" s="16">
        <f t="shared" si="25"/>
        <v>50</v>
      </c>
      <c r="E225" s="34">
        <f t="shared" si="26"/>
        <v>0.14000000000000001</v>
      </c>
      <c r="F225" s="11">
        <f t="shared" si="30"/>
        <v>13</v>
      </c>
      <c r="G225" s="116" t="s">
        <v>76</v>
      </c>
      <c r="H225" s="118"/>
      <c r="I225" s="118"/>
      <c r="J225" s="124">
        <f>D225*E225</f>
        <v>7.0000000000000009</v>
      </c>
      <c r="N225" s="190"/>
      <c r="O225" s="194"/>
      <c r="P225" s="190"/>
      <c r="Q225" s="194"/>
      <c r="R225" s="190"/>
      <c r="S225" s="195"/>
    </row>
    <row r="226" spans="2:19" outlineLevel="1" x14ac:dyDescent="0.3">
      <c r="B226" s="47"/>
      <c r="C226" s="12"/>
      <c r="D226" s="16">
        <f t="shared" si="25"/>
        <v>50</v>
      </c>
      <c r="E226" s="34">
        <f t="shared" si="26"/>
        <v>0.14000000000000001</v>
      </c>
      <c r="F226" s="11">
        <f t="shared" si="30"/>
        <v>14</v>
      </c>
      <c r="G226" s="116"/>
      <c r="H226" s="118"/>
      <c r="I226" s="118"/>
      <c r="J226" s="124">
        <f t="shared" ref="J226:J289" si="31">D226*E226</f>
        <v>7.0000000000000009</v>
      </c>
      <c r="N226" s="190"/>
      <c r="O226" s="194"/>
      <c r="P226" s="190"/>
      <c r="Q226" s="194"/>
      <c r="R226" s="190"/>
      <c r="S226" s="195"/>
    </row>
    <row r="227" spans="2:19" outlineLevel="1" x14ac:dyDescent="0.3">
      <c r="B227" s="47"/>
      <c r="C227" s="12"/>
      <c r="D227" s="16">
        <f t="shared" si="25"/>
        <v>50</v>
      </c>
      <c r="E227" s="34">
        <f t="shared" si="26"/>
        <v>0.14000000000000001</v>
      </c>
      <c r="F227" s="11">
        <f t="shared" si="30"/>
        <v>15</v>
      </c>
      <c r="G227" s="116"/>
      <c r="H227" s="118"/>
      <c r="I227" s="118"/>
      <c r="J227" s="124">
        <f t="shared" si="31"/>
        <v>7.0000000000000009</v>
      </c>
      <c r="N227" s="190"/>
      <c r="O227" s="194"/>
      <c r="P227" s="190"/>
      <c r="Q227" s="194"/>
      <c r="R227" s="190"/>
      <c r="S227" s="195"/>
    </row>
    <row r="228" spans="2:19" outlineLevel="1" x14ac:dyDescent="0.3">
      <c r="B228" s="47"/>
      <c r="C228" s="12"/>
      <c r="D228" s="16">
        <f t="shared" si="25"/>
        <v>50</v>
      </c>
      <c r="E228" s="34">
        <f t="shared" si="26"/>
        <v>0.14000000000000001</v>
      </c>
      <c r="F228" s="11">
        <f t="shared" si="30"/>
        <v>16</v>
      </c>
      <c r="G228" s="116"/>
      <c r="H228" s="118"/>
      <c r="I228" s="118"/>
      <c r="J228" s="124">
        <f t="shared" si="31"/>
        <v>7.0000000000000009</v>
      </c>
      <c r="N228" s="190"/>
      <c r="O228" s="194"/>
      <c r="P228" s="190"/>
      <c r="Q228" s="194"/>
      <c r="R228" s="190"/>
      <c r="S228" s="195"/>
    </row>
    <row r="229" spans="2:19" outlineLevel="1" x14ac:dyDescent="0.3">
      <c r="B229" s="47"/>
      <c r="C229" s="12"/>
      <c r="D229" s="16">
        <f t="shared" si="25"/>
        <v>50</v>
      </c>
      <c r="E229" s="34">
        <f t="shared" si="26"/>
        <v>0.14000000000000001</v>
      </c>
      <c r="F229" s="11">
        <f t="shared" si="30"/>
        <v>17</v>
      </c>
      <c r="G229" s="116"/>
      <c r="H229" s="118"/>
      <c r="I229" s="118"/>
      <c r="J229" s="124">
        <f t="shared" si="31"/>
        <v>7.0000000000000009</v>
      </c>
      <c r="N229" s="190"/>
      <c r="O229" s="194"/>
      <c r="P229" s="190"/>
      <c r="Q229" s="194"/>
      <c r="R229" s="190"/>
      <c r="S229" s="195"/>
    </row>
    <row r="230" spans="2:19" outlineLevel="1" x14ac:dyDescent="0.3">
      <c r="B230" s="47"/>
      <c r="C230" s="12"/>
      <c r="D230" s="16">
        <f t="shared" si="25"/>
        <v>50</v>
      </c>
      <c r="E230" s="34">
        <f t="shared" si="26"/>
        <v>0.14000000000000001</v>
      </c>
      <c r="F230" s="11">
        <f t="shared" si="30"/>
        <v>18</v>
      </c>
      <c r="G230" s="116"/>
      <c r="H230" s="118"/>
      <c r="I230" s="118"/>
      <c r="J230" s="124">
        <f t="shared" si="31"/>
        <v>7.0000000000000009</v>
      </c>
      <c r="N230" s="190"/>
      <c r="O230" s="194"/>
      <c r="P230" s="190"/>
      <c r="Q230" s="194"/>
      <c r="R230" s="190"/>
      <c r="S230" s="195"/>
    </row>
    <row r="231" spans="2:19" outlineLevel="1" x14ac:dyDescent="0.3">
      <c r="B231" s="47"/>
      <c r="C231" s="12"/>
      <c r="D231" s="16">
        <f t="shared" si="25"/>
        <v>50</v>
      </c>
      <c r="E231" s="34">
        <f t="shared" si="26"/>
        <v>0.14000000000000001</v>
      </c>
      <c r="F231" s="11">
        <f t="shared" si="30"/>
        <v>19</v>
      </c>
      <c r="G231" s="116"/>
      <c r="H231" s="118"/>
      <c r="I231" s="118"/>
      <c r="J231" s="124">
        <f t="shared" si="31"/>
        <v>7.0000000000000009</v>
      </c>
      <c r="N231" s="190"/>
      <c r="O231" s="194"/>
      <c r="P231" s="190"/>
      <c r="Q231" s="194"/>
      <c r="R231" s="190"/>
      <c r="S231" s="195"/>
    </row>
    <row r="232" spans="2:19" outlineLevel="1" x14ac:dyDescent="0.3">
      <c r="B232" s="47"/>
      <c r="C232" s="12"/>
      <c r="D232" s="16">
        <f t="shared" si="25"/>
        <v>50</v>
      </c>
      <c r="E232" s="34">
        <f t="shared" si="26"/>
        <v>0.14000000000000001</v>
      </c>
      <c r="F232" s="11">
        <f t="shared" si="30"/>
        <v>20</v>
      </c>
      <c r="G232" s="116"/>
      <c r="H232" s="118"/>
      <c r="I232" s="118"/>
      <c r="J232" s="124">
        <f t="shared" si="31"/>
        <v>7.0000000000000009</v>
      </c>
      <c r="N232" s="190"/>
      <c r="O232" s="194"/>
      <c r="P232" s="190"/>
      <c r="Q232" s="194"/>
      <c r="R232" s="190"/>
      <c r="S232" s="195"/>
    </row>
    <row r="233" spans="2:19" outlineLevel="1" x14ac:dyDescent="0.3">
      <c r="B233" s="47"/>
      <c r="C233" s="12"/>
      <c r="D233" s="16">
        <f t="shared" si="25"/>
        <v>50</v>
      </c>
      <c r="E233" s="34">
        <f t="shared" si="26"/>
        <v>0.14000000000000001</v>
      </c>
      <c r="F233" s="11">
        <f t="shared" si="30"/>
        <v>21</v>
      </c>
      <c r="G233" s="116"/>
      <c r="H233" s="118"/>
      <c r="I233" s="118"/>
      <c r="J233" s="124">
        <f t="shared" si="31"/>
        <v>7.0000000000000009</v>
      </c>
      <c r="N233" s="190"/>
      <c r="O233" s="194"/>
      <c r="P233" s="190"/>
      <c r="Q233" s="194"/>
      <c r="R233" s="190"/>
      <c r="S233" s="195"/>
    </row>
    <row r="234" spans="2:19" outlineLevel="1" x14ac:dyDescent="0.3">
      <c r="B234" s="47"/>
      <c r="C234" s="12"/>
      <c r="D234" s="16">
        <f t="shared" si="25"/>
        <v>50</v>
      </c>
      <c r="E234" s="34">
        <f t="shared" si="26"/>
        <v>0.14000000000000001</v>
      </c>
      <c r="F234" s="11">
        <f t="shared" si="30"/>
        <v>22</v>
      </c>
      <c r="G234" s="116"/>
      <c r="H234" s="118"/>
      <c r="I234" s="118"/>
      <c r="J234" s="124">
        <f t="shared" si="31"/>
        <v>7.0000000000000009</v>
      </c>
      <c r="N234" s="190"/>
      <c r="O234" s="194"/>
      <c r="P234" s="190"/>
      <c r="Q234" s="194"/>
      <c r="R234" s="190"/>
      <c r="S234" s="195"/>
    </row>
    <row r="235" spans="2:19" outlineLevel="1" x14ac:dyDescent="0.3">
      <c r="B235" s="47"/>
      <c r="C235" s="12"/>
      <c r="D235" s="16">
        <f t="shared" si="25"/>
        <v>50</v>
      </c>
      <c r="E235" s="34">
        <f t="shared" si="26"/>
        <v>0.14000000000000001</v>
      </c>
      <c r="F235" s="11">
        <f t="shared" si="30"/>
        <v>23</v>
      </c>
      <c r="G235" s="116"/>
      <c r="H235" s="118"/>
      <c r="I235" s="118"/>
      <c r="J235" s="124">
        <f t="shared" si="31"/>
        <v>7.0000000000000009</v>
      </c>
      <c r="N235" s="190"/>
      <c r="O235" s="194"/>
      <c r="P235" s="190"/>
      <c r="Q235" s="194"/>
      <c r="R235" s="190"/>
      <c r="S235" s="195"/>
    </row>
    <row r="236" spans="2:19" outlineLevel="1" x14ac:dyDescent="0.3">
      <c r="B236" s="47"/>
      <c r="C236" s="12"/>
      <c r="D236" s="16">
        <f t="shared" si="25"/>
        <v>50</v>
      </c>
      <c r="E236" s="34">
        <f t="shared" si="26"/>
        <v>0.14000000000000001</v>
      </c>
      <c r="F236" s="11">
        <f t="shared" si="30"/>
        <v>24</v>
      </c>
      <c r="G236" s="116"/>
      <c r="H236" s="118"/>
      <c r="I236" s="118"/>
      <c r="J236" s="124">
        <f t="shared" si="31"/>
        <v>7.0000000000000009</v>
      </c>
      <c r="N236" s="190"/>
      <c r="O236" s="194"/>
      <c r="P236" s="190"/>
      <c r="Q236" s="194"/>
      <c r="R236" s="190"/>
      <c r="S236" s="195"/>
    </row>
    <row r="237" spans="2:19" outlineLevel="1" x14ac:dyDescent="0.3">
      <c r="B237" s="47"/>
      <c r="C237" s="12"/>
      <c r="D237" s="16">
        <f t="shared" si="25"/>
        <v>50</v>
      </c>
      <c r="E237" s="34">
        <f t="shared" si="26"/>
        <v>0.14000000000000001</v>
      </c>
      <c r="F237" s="11">
        <f t="shared" si="30"/>
        <v>25</v>
      </c>
      <c r="G237" s="116"/>
      <c r="H237" s="118"/>
      <c r="I237" s="118"/>
      <c r="J237" s="124">
        <f t="shared" si="31"/>
        <v>7.0000000000000009</v>
      </c>
      <c r="N237" s="190"/>
      <c r="O237" s="194"/>
      <c r="P237" s="190"/>
      <c r="Q237" s="194"/>
      <c r="R237" s="190"/>
      <c r="S237" s="195"/>
    </row>
    <row r="238" spans="2:19" outlineLevel="1" x14ac:dyDescent="0.3">
      <c r="B238" s="47"/>
      <c r="C238" s="12"/>
      <c r="D238" s="16">
        <f t="shared" si="25"/>
        <v>50</v>
      </c>
      <c r="E238" s="34">
        <f t="shared" si="26"/>
        <v>0.14000000000000001</v>
      </c>
      <c r="F238" s="11">
        <f t="shared" si="30"/>
        <v>26</v>
      </c>
      <c r="G238" s="116"/>
      <c r="H238" s="118"/>
      <c r="I238" s="118"/>
      <c r="J238" s="124">
        <f t="shared" si="31"/>
        <v>7.0000000000000009</v>
      </c>
      <c r="N238" s="190"/>
      <c r="O238" s="194"/>
      <c r="P238" s="190"/>
      <c r="Q238" s="194"/>
      <c r="R238" s="190"/>
      <c r="S238" s="195"/>
    </row>
    <row r="239" spans="2:19" outlineLevel="1" x14ac:dyDescent="0.3">
      <c r="B239" s="47"/>
      <c r="C239" s="12"/>
      <c r="D239" s="16">
        <f t="shared" si="25"/>
        <v>50</v>
      </c>
      <c r="E239" s="34">
        <f t="shared" si="26"/>
        <v>0.14000000000000001</v>
      </c>
      <c r="F239" s="11">
        <f t="shared" si="30"/>
        <v>27</v>
      </c>
      <c r="G239" s="116"/>
      <c r="H239" s="118"/>
      <c r="I239" s="118"/>
      <c r="J239" s="124">
        <f t="shared" si="31"/>
        <v>7.0000000000000009</v>
      </c>
      <c r="N239" s="190"/>
      <c r="O239" s="194"/>
      <c r="P239" s="190"/>
      <c r="Q239" s="194"/>
      <c r="R239" s="190"/>
      <c r="S239" s="195"/>
    </row>
    <row r="240" spans="2:19" outlineLevel="1" x14ac:dyDescent="0.3">
      <c r="B240" s="47"/>
      <c r="C240" s="12"/>
      <c r="D240" s="16">
        <f t="shared" si="25"/>
        <v>50</v>
      </c>
      <c r="E240" s="34">
        <f t="shared" si="26"/>
        <v>0.14000000000000001</v>
      </c>
      <c r="F240" s="11">
        <f t="shared" si="30"/>
        <v>28</v>
      </c>
      <c r="G240" s="116"/>
      <c r="H240" s="118"/>
      <c r="I240" s="118"/>
      <c r="J240" s="124">
        <f t="shared" si="31"/>
        <v>7.0000000000000009</v>
      </c>
      <c r="N240" s="190"/>
      <c r="O240" s="194"/>
      <c r="P240" s="190"/>
      <c r="Q240" s="194"/>
      <c r="R240" s="190"/>
      <c r="S240" s="195"/>
    </row>
    <row r="241" spans="2:19" outlineLevel="1" x14ac:dyDescent="0.3">
      <c r="B241" s="47"/>
      <c r="C241" s="12"/>
      <c r="D241" s="16">
        <f t="shared" si="25"/>
        <v>50</v>
      </c>
      <c r="E241" s="34">
        <f t="shared" si="26"/>
        <v>0.14000000000000001</v>
      </c>
      <c r="F241" s="11">
        <f t="shared" si="30"/>
        <v>29</v>
      </c>
      <c r="G241" s="116"/>
      <c r="H241" s="118"/>
      <c r="I241" s="118"/>
      <c r="J241" s="124">
        <f t="shared" si="31"/>
        <v>7.0000000000000009</v>
      </c>
      <c r="N241" s="190"/>
      <c r="O241" s="194"/>
      <c r="P241" s="190"/>
      <c r="Q241" s="194"/>
      <c r="R241" s="190"/>
      <c r="S241" s="195"/>
    </row>
    <row r="242" spans="2:19" outlineLevel="1" x14ac:dyDescent="0.3">
      <c r="B242" s="47"/>
      <c r="C242" s="12"/>
      <c r="D242" s="16">
        <f t="shared" si="25"/>
        <v>50</v>
      </c>
      <c r="E242" s="34">
        <f t="shared" si="26"/>
        <v>0.14000000000000001</v>
      </c>
      <c r="F242" s="11">
        <f t="shared" si="30"/>
        <v>30</v>
      </c>
      <c r="G242" s="116"/>
      <c r="H242" s="118"/>
      <c r="I242" s="118"/>
      <c r="J242" s="124">
        <f t="shared" si="31"/>
        <v>7.0000000000000009</v>
      </c>
      <c r="N242" s="190"/>
      <c r="O242" s="194"/>
      <c r="P242" s="190"/>
      <c r="Q242" s="194"/>
      <c r="R242" s="190"/>
      <c r="S242" s="195"/>
    </row>
    <row r="243" spans="2:19" outlineLevel="1" x14ac:dyDescent="0.3">
      <c r="B243" s="47"/>
      <c r="C243" s="12"/>
      <c r="D243" s="16">
        <f t="shared" si="25"/>
        <v>50</v>
      </c>
      <c r="E243" s="34">
        <f t="shared" si="26"/>
        <v>0.14000000000000001</v>
      </c>
      <c r="F243" s="11">
        <f t="shared" si="30"/>
        <v>31</v>
      </c>
      <c r="G243" s="116"/>
      <c r="H243" s="118"/>
      <c r="I243" s="118"/>
      <c r="J243" s="124">
        <f t="shared" si="31"/>
        <v>7.0000000000000009</v>
      </c>
      <c r="N243" s="190"/>
      <c r="O243" s="194"/>
      <c r="P243" s="190"/>
      <c r="Q243" s="194"/>
      <c r="R243" s="190"/>
      <c r="S243" s="195"/>
    </row>
    <row r="244" spans="2:19" outlineLevel="1" x14ac:dyDescent="0.3">
      <c r="B244" s="47"/>
      <c r="C244" s="12"/>
      <c r="D244" s="16">
        <f t="shared" si="25"/>
        <v>50</v>
      </c>
      <c r="E244" s="34">
        <f t="shared" si="26"/>
        <v>0.14000000000000001</v>
      </c>
      <c r="F244" s="11">
        <f t="shared" si="30"/>
        <v>32</v>
      </c>
      <c r="G244" s="116"/>
      <c r="H244" s="118"/>
      <c r="I244" s="118"/>
      <c r="J244" s="124">
        <f t="shared" si="31"/>
        <v>7.0000000000000009</v>
      </c>
      <c r="N244" s="190"/>
      <c r="O244" s="194"/>
      <c r="P244" s="190"/>
      <c r="Q244" s="194"/>
      <c r="R244" s="190"/>
      <c r="S244" s="195"/>
    </row>
    <row r="245" spans="2:19" outlineLevel="1" x14ac:dyDescent="0.3">
      <c r="B245" s="47"/>
      <c r="C245" s="12"/>
      <c r="D245" s="16">
        <f t="shared" si="25"/>
        <v>50</v>
      </c>
      <c r="E245" s="34">
        <f t="shared" si="26"/>
        <v>0.14000000000000001</v>
      </c>
      <c r="F245" s="11">
        <f t="shared" si="30"/>
        <v>33</v>
      </c>
      <c r="G245" s="116"/>
      <c r="H245" s="118"/>
      <c r="I245" s="118"/>
      <c r="J245" s="124">
        <f t="shared" si="31"/>
        <v>7.0000000000000009</v>
      </c>
      <c r="N245" s="190"/>
      <c r="O245" s="194"/>
      <c r="P245" s="190"/>
      <c r="Q245" s="194"/>
      <c r="R245" s="190"/>
      <c r="S245" s="195"/>
    </row>
    <row r="246" spans="2:19" outlineLevel="1" x14ac:dyDescent="0.3">
      <c r="B246" s="47"/>
      <c r="C246" s="12"/>
      <c r="D246" s="16">
        <f t="shared" si="25"/>
        <v>50</v>
      </c>
      <c r="E246" s="34">
        <f t="shared" si="26"/>
        <v>0.14000000000000001</v>
      </c>
      <c r="F246" s="11">
        <f t="shared" si="30"/>
        <v>34</v>
      </c>
      <c r="G246" s="116"/>
      <c r="H246" s="118"/>
      <c r="I246" s="118"/>
      <c r="J246" s="124">
        <f t="shared" si="31"/>
        <v>7.0000000000000009</v>
      </c>
      <c r="N246" s="190"/>
      <c r="O246" s="194"/>
      <c r="P246" s="190"/>
      <c r="Q246" s="194"/>
      <c r="R246" s="190"/>
      <c r="S246" s="195"/>
    </row>
    <row r="247" spans="2:19" outlineLevel="1" x14ac:dyDescent="0.3">
      <c r="B247" s="47"/>
      <c r="C247" s="12"/>
      <c r="D247" s="16">
        <f t="shared" si="25"/>
        <v>50</v>
      </c>
      <c r="E247" s="34">
        <f t="shared" si="26"/>
        <v>0.14000000000000001</v>
      </c>
      <c r="F247" s="11">
        <f t="shared" si="30"/>
        <v>35</v>
      </c>
      <c r="G247" s="116"/>
      <c r="H247" s="118"/>
      <c r="I247" s="118"/>
      <c r="J247" s="124">
        <f t="shared" si="31"/>
        <v>7.0000000000000009</v>
      </c>
      <c r="N247" s="190"/>
      <c r="O247" s="194"/>
      <c r="P247" s="190"/>
      <c r="Q247" s="194"/>
      <c r="R247" s="190"/>
      <c r="S247" s="195"/>
    </row>
    <row r="248" spans="2:19" outlineLevel="1" x14ac:dyDescent="0.3">
      <c r="B248" s="47"/>
      <c r="C248" s="12"/>
      <c r="D248" s="16">
        <f t="shared" si="25"/>
        <v>50</v>
      </c>
      <c r="E248" s="34">
        <f t="shared" si="26"/>
        <v>0.14000000000000001</v>
      </c>
      <c r="F248" s="11">
        <f t="shared" si="30"/>
        <v>36</v>
      </c>
      <c r="G248" s="116"/>
      <c r="H248" s="118"/>
      <c r="I248" s="118"/>
      <c r="J248" s="124">
        <f t="shared" si="31"/>
        <v>7.0000000000000009</v>
      </c>
      <c r="N248" s="190"/>
      <c r="O248" s="194"/>
      <c r="P248" s="190"/>
      <c r="Q248" s="194"/>
      <c r="R248" s="190"/>
      <c r="S248" s="195"/>
    </row>
    <row r="249" spans="2:19" outlineLevel="1" x14ac:dyDescent="0.3">
      <c r="B249" s="47"/>
      <c r="C249" s="12"/>
      <c r="D249" s="16">
        <f t="shared" si="25"/>
        <v>50</v>
      </c>
      <c r="E249" s="34">
        <f t="shared" si="26"/>
        <v>0.14000000000000001</v>
      </c>
      <c r="F249" s="11">
        <f t="shared" si="30"/>
        <v>37</v>
      </c>
      <c r="G249" s="116"/>
      <c r="H249" s="118"/>
      <c r="I249" s="118"/>
      <c r="J249" s="124">
        <f t="shared" si="31"/>
        <v>7.0000000000000009</v>
      </c>
      <c r="N249" s="190"/>
      <c r="O249" s="194"/>
      <c r="P249" s="190"/>
      <c r="Q249" s="194"/>
      <c r="R249" s="190"/>
      <c r="S249" s="195"/>
    </row>
    <row r="250" spans="2:19" outlineLevel="1" x14ac:dyDescent="0.3">
      <c r="B250" s="47"/>
      <c r="C250" s="12"/>
      <c r="D250" s="16">
        <f t="shared" si="25"/>
        <v>50</v>
      </c>
      <c r="E250" s="34">
        <f t="shared" si="26"/>
        <v>0.14000000000000001</v>
      </c>
      <c r="F250" s="11">
        <f t="shared" si="30"/>
        <v>38</v>
      </c>
      <c r="G250" s="116"/>
      <c r="H250" s="118"/>
      <c r="I250" s="118"/>
      <c r="J250" s="124">
        <f t="shared" si="31"/>
        <v>7.0000000000000009</v>
      </c>
      <c r="N250" s="190"/>
      <c r="O250" s="194"/>
      <c r="P250" s="190"/>
      <c r="Q250" s="194"/>
      <c r="R250" s="190"/>
      <c r="S250" s="195"/>
    </row>
    <row r="251" spans="2:19" outlineLevel="1" x14ac:dyDescent="0.3">
      <c r="B251" s="47"/>
      <c r="C251" s="12"/>
      <c r="D251" s="16">
        <f t="shared" si="25"/>
        <v>50</v>
      </c>
      <c r="E251" s="34">
        <f t="shared" si="26"/>
        <v>0.14000000000000001</v>
      </c>
      <c r="F251" s="11">
        <f t="shared" si="30"/>
        <v>39</v>
      </c>
      <c r="G251" s="116"/>
      <c r="H251" s="118"/>
      <c r="I251" s="118"/>
      <c r="J251" s="124">
        <f t="shared" si="31"/>
        <v>7.0000000000000009</v>
      </c>
      <c r="N251" s="190"/>
      <c r="O251" s="194"/>
      <c r="P251" s="190"/>
      <c r="Q251" s="194"/>
      <c r="R251" s="190"/>
      <c r="S251" s="195"/>
    </row>
    <row r="252" spans="2:19" outlineLevel="1" x14ac:dyDescent="0.3">
      <c r="B252" s="47"/>
      <c r="C252" s="12"/>
      <c r="D252" s="16">
        <f t="shared" si="25"/>
        <v>50</v>
      </c>
      <c r="E252" s="34">
        <f t="shared" si="26"/>
        <v>0.14000000000000001</v>
      </c>
      <c r="F252" s="11">
        <f t="shared" si="30"/>
        <v>40</v>
      </c>
      <c r="G252" s="116"/>
      <c r="H252" s="118"/>
      <c r="I252" s="118"/>
      <c r="J252" s="124">
        <f t="shared" si="31"/>
        <v>7.0000000000000009</v>
      </c>
      <c r="N252" s="190"/>
      <c r="O252" s="194"/>
      <c r="P252" s="190"/>
      <c r="Q252" s="194"/>
      <c r="R252" s="190"/>
      <c r="S252" s="195"/>
    </row>
    <row r="253" spans="2:19" outlineLevel="1" x14ac:dyDescent="0.3">
      <c r="B253" s="47"/>
      <c r="C253" s="12"/>
      <c r="D253" s="16">
        <f t="shared" si="25"/>
        <v>50</v>
      </c>
      <c r="E253" s="34">
        <f t="shared" si="26"/>
        <v>0.14000000000000001</v>
      </c>
      <c r="F253" s="11">
        <f t="shared" si="30"/>
        <v>41</v>
      </c>
      <c r="G253" s="116"/>
      <c r="H253" s="118"/>
      <c r="I253" s="118"/>
      <c r="J253" s="124">
        <f t="shared" si="31"/>
        <v>7.0000000000000009</v>
      </c>
      <c r="N253" s="190"/>
      <c r="O253" s="194"/>
      <c r="P253" s="190"/>
      <c r="Q253" s="194"/>
      <c r="R253" s="190"/>
      <c r="S253" s="195"/>
    </row>
    <row r="254" spans="2:19" outlineLevel="1" x14ac:dyDescent="0.3">
      <c r="B254" s="47"/>
      <c r="C254" s="12"/>
      <c r="D254" s="16">
        <f t="shared" si="25"/>
        <v>50</v>
      </c>
      <c r="E254" s="34">
        <f t="shared" si="26"/>
        <v>0.14000000000000001</v>
      </c>
      <c r="F254" s="11">
        <f t="shared" si="30"/>
        <v>42</v>
      </c>
      <c r="G254" s="116"/>
      <c r="H254" s="118"/>
      <c r="I254" s="118"/>
      <c r="J254" s="124">
        <f t="shared" si="31"/>
        <v>7.0000000000000009</v>
      </c>
      <c r="N254" s="190"/>
      <c r="O254" s="194"/>
      <c r="P254" s="190"/>
      <c r="Q254" s="194"/>
      <c r="R254" s="190"/>
      <c r="S254" s="195"/>
    </row>
    <row r="255" spans="2:19" outlineLevel="1" x14ac:dyDescent="0.3">
      <c r="B255" s="47"/>
      <c r="C255" s="12"/>
      <c r="D255" s="16">
        <f t="shared" si="25"/>
        <v>50</v>
      </c>
      <c r="E255" s="34">
        <f t="shared" si="26"/>
        <v>0.14000000000000001</v>
      </c>
      <c r="F255" s="11">
        <f t="shared" si="30"/>
        <v>43</v>
      </c>
      <c r="G255" s="116"/>
      <c r="H255" s="118"/>
      <c r="I255" s="118"/>
      <c r="J255" s="124">
        <f t="shared" si="31"/>
        <v>7.0000000000000009</v>
      </c>
      <c r="N255" s="190"/>
      <c r="O255" s="194"/>
      <c r="P255" s="190"/>
      <c r="Q255" s="194"/>
      <c r="R255" s="190"/>
      <c r="S255" s="195"/>
    </row>
    <row r="256" spans="2:19" outlineLevel="1" x14ac:dyDescent="0.3">
      <c r="B256" s="47"/>
      <c r="C256" s="12"/>
      <c r="D256" s="16">
        <f t="shared" si="25"/>
        <v>50</v>
      </c>
      <c r="E256" s="34">
        <f t="shared" si="26"/>
        <v>0.14000000000000001</v>
      </c>
      <c r="F256" s="11">
        <f t="shared" si="30"/>
        <v>44</v>
      </c>
      <c r="G256" s="116"/>
      <c r="H256" s="118"/>
      <c r="I256" s="118"/>
      <c r="J256" s="124">
        <f t="shared" si="31"/>
        <v>7.0000000000000009</v>
      </c>
      <c r="N256" s="190"/>
      <c r="O256" s="194"/>
      <c r="P256" s="190"/>
      <c r="Q256" s="194"/>
      <c r="R256" s="190"/>
      <c r="S256" s="195"/>
    </row>
    <row r="257" spans="2:19" outlineLevel="1" x14ac:dyDescent="0.3">
      <c r="B257" s="47"/>
      <c r="C257" s="12"/>
      <c r="D257" s="16">
        <f t="shared" si="25"/>
        <v>50</v>
      </c>
      <c r="E257" s="34">
        <f t="shared" si="26"/>
        <v>0.14000000000000001</v>
      </c>
      <c r="F257" s="11">
        <f t="shared" si="30"/>
        <v>45</v>
      </c>
      <c r="G257" s="116"/>
      <c r="H257" s="118"/>
      <c r="I257" s="118"/>
      <c r="J257" s="124">
        <f t="shared" si="31"/>
        <v>7.0000000000000009</v>
      </c>
      <c r="N257" s="190"/>
      <c r="O257" s="194"/>
      <c r="P257" s="190"/>
      <c r="Q257" s="194"/>
      <c r="R257" s="190"/>
      <c r="S257" s="195"/>
    </row>
    <row r="258" spans="2:19" outlineLevel="1" x14ac:dyDescent="0.3">
      <c r="B258" s="47"/>
      <c r="C258" s="12"/>
      <c r="D258" s="16">
        <f t="shared" si="25"/>
        <v>50</v>
      </c>
      <c r="E258" s="34">
        <f t="shared" si="26"/>
        <v>0.14000000000000001</v>
      </c>
      <c r="F258" s="11">
        <f t="shared" si="30"/>
        <v>46</v>
      </c>
      <c r="G258" s="116"/>
      <c r="H258" s="118"/>
      <c r="I258" s="118"/>
      <c r="J258" s="124">
        <f t="shared" si="31"/>
        <v>7.0000000000000009</v>
      </c>
      <c r="N258" s="190"/>
      <c r="O258" s="194"/>
      <c r="P258" s="190"/>
      <c r="Q258" s="194"/>
      <c r="R258" s="190"/>
      <c r="S258" s="195"/>
    </row>
    <row r="259" spans="2:19" outlineLevel="1" x14ac:dyDescent="0.3">
      <c r="B259" s="47"/>
      <c r="C259" s="12"/>
      <c r="D259" s="16">
        <f t="shared" si="25"/>
        <v>50</v>
      </c>
      <c r="E259" s="34">
        <f t="shared" si="26"/>
        <v>0.14000000000000001</v>
      </c>
      <c r="F259" s="11">
        <f t="shared" si="30"/>
        <v>47</v>
      </c>
      <c r="G259" s="116"/>
      <c r="H259" s="118"/>
      <c r="I259" s="118"/>
      <c r="J259" s="124">
        <f t="shared" si="31"/>
        <v>7.0000000000000009</v>
      </c>
      <c r="N259" s="190"/>
      <c r="O259" s="194"/>
      <c r="P259" s="190"/>
      <c r="Q259" s="194"/>
      <c r="R259" s="190"/>
      <c r="S259" s="195"/>
    </row>
    <row r="260" spans="2:19" outlineLevel="1" x14ac:dyDescent="0.3">
      <c r="B260" s="47"/>
      <c r="C260" s="12"/>
      <c r="D260" s="16">
        <f t="shared" si="25"/>
        <v>50</v>
      </c>
      <c r="E260" s="34">
        <f t="shared" si="26"/>
        <v>0.14000000000000001</v>
      </c>
      <c r="F260" s="11">
        <f t="shared" si="30"/>
        <v>48</v>
      </c>
      <c r="G260" s="116"/>
      <c r="H260" s="118"/>
      <c r="I260" s="118"/>
      <c r="J260" s="124">
        <f t="shared" si="31"/>
        <v>7.0000000000000009</v>
      </c>
      <c r="N260" s="190"/>
      <c r="O260" s="194"/>
      <c r="P260" s="190"/>
      <c r="Q260" s="194"/>
      <c r="R260" s="190"/>
      <c r="S260" s="195"/>
    </row>
    <row r="261" spans="2:19" outlineLevel="1" x14ac:dyDescent="0.3">
      <c r="B261" s="47"/>
      <c r="C261" s="12"/>
      <c r="D261" s="16">
        <f t="shared" si="25"/>
        <v>50</v>
      </c>
      <c r="E261" s="34">
        <f t="shared" si="26"/>
        <v>0.14000000000000001</v>
      </c>
      <c r="F261" s="11">
        <f t="shared" si="30"/>
        <v>49</v>
      </c>
      <c r="G261" s="116"/>
      <c r="H261" s="118"/>
      <c r="I261" s="118"/>
      <c r="J261" s="124">
        <f t="shared" si="31"/>
        <v>7.0000000000000009</v>
      </c>
      <c r="N261" s="190"/>
      <c r="O261" s="194"/>
      <c r="P261" s="190"/>
      <c r="Q261" s="194"/>
      <c r="R261" s="190"/>
      <c r="S261" s="195"/>
    </row>
    <row r="262" spans="2:19" outlineLevel="1" x14ac:dyDescent="0.3">
      <c r="B262" s="47"/>
      <c r="C262" s="12"/>
      <c r="D262" s="16">
        <f t="shared" si="25"/>
        <v>50</v>
      </c>
      <c r="E262" s="34">
        <f t="shared" si="26"/>
        <v>0.14000000000000001</v>
      </c>
      <c r="F262" s="11">
        <f t="shared" si="30"/>
        <v>50</v>
      </c>
      <c r="G262" s="116"/>
      <c r="H262" s="118"/>
      <c r="I262" s="118"/>
      <c r="J262" s="124">
        <f t="shared" si="31"/>
        <v>7.0000000000000009</v>
      </c>
      <c r="N262" s="190"/>
      <c r="O262" s="194"/>
      <c r="P262" s="190"/>
      <c r="Q262" s="194"/>
      <c r="R262" s="190"/>
      <c r="S262" s="195"/>
    </row>
    <row r="263" spans="2:19" outlineLevel="1" x14ac:dyDescent="0.3">
      <c r="B263" s="47"/>
      <c r="C263" s="12"/>
      <c r="D263" s="16">
        <f t="shared" si="25"/>
        <v>50</v>
      </c>
      <c r="E263" s="34">
        <f t="shared" si="26"/>
        <v>0.14000000000000001</v>
      </c>
      <c r="F263" s="11">
        <f t="shared" si="30"/>
        <v>51</v>
      </c>
      <c r="G263" s="116"/>
      <c r="H263" s="118"/>
      <c r="I263" s="118"/>
      <c r="J263" s="124">
        <f t="shared" si="31"/>
        <v>7.0000000000000009</v>
      </c>
      <c r="N263" s="190"/>
      <c r="O263" s="194"/>
      <c r="P263" s="190"/>
      <c r="Q263" s="194"/>
      <c r="R263" s="190"/>
      <c r="S263" s="195"/>
    </row>
    <row r="264" spans="2:19" outlineLevel="1" x14ac:dyDescent="0.3">
      <c r="B264" s="47"/>
      <c r="C264" s="12"/>
      <c r="D264" s="16">
        <f t="shared" si="25"/>
        <v>50</v>
      </c>
      <c r="E264" s="34">
        <f t="shared" si="26"/>
        <v>0.14000000000000001</v>
      </c>
      <c r="F264" s="11">
        <f t="shared" si="30"/>
        <v>52</v>
      </c>
      <c r="G264" s="116"/>
      <c r="H264" s="118"/>
      <c r="I264" s="118"/>
      <c r="J264" s="124">
        <f t="shared" si="31"/>
        <v>7.0000000000000009</v>
      </c>
      <c r="N264" s="190"/>
      <c r="O264" s="194"/>
      <c r="P264" s="190"/>
      <c r="Q264" s="194"/>
      <c r="R264" s="190"/>
      <c r="S264" s="195"/>
    </row>
    <row r="265" spans="2:19" outlineLevel="1" x14ac:dyDescent="0.3">
      <c r="B265" s="47"/>
      <c r="C265" s="12"/>
      <c r="D265" s="16">
        <f t="shared" si="25"/>
        <v>50</v>
      </c>
      <c r="E265" s="34">
        <f t="shared" si="26"/>
        <v>0.14000000000000001</v>
      </c>
      <c r="F265" s="11">
        <f t="shared" si="30"/>
        <v>53</v>
      </c>
      <c r="G265" s="116"/>
      <c r="H265" s="118"/>
      <c r="I265" s="118"/>
      <c r="J265" s="124">
        <f t="shared" si="31"/>
        <v>7.0000000000000009</v>
      </c>
      <c r="N265" s="190"/>
      <c r="O265" s="194"/>
      <c r="P265" s="190"/>
      <c r="Q265" s="194"/>
      <c r="R265" s="190"/>
      <c r="S265" s="195"/>
    </row>
    <row r="266" spans="2:19" outlineLevel="1" x14ac:dyDescent="0.3">
      <c r="B266" s="47"/>
      <c r="C266" s="12"/>
      <c r="D266" s="16">
        <f t="shared" si="25"/>
        <v>50</v>
      </c>
      <c r="E266" s="34">
        <f t="shared" si="26"/>
        <v>0.14000000000000001</v>
      </c>
      <c r="F266" s="11">
        <f t="shared" si="30"/>
        <v>54</v>
      </c>
      <c r="G266" s="116"/>
      <c r="H266" s="118"/>
      <c r="I266" s="118"/>
      <c r="J266" s="124">
        <f t="shared" si="31"/>
        <v>7.0000000000000009</v>
      </c>
      <c r="N266" s="190"/>
      <c r="O266" s="194"/>
      <c r="P266" s="190"/>
      <c r="Q266" s="194"/>
      <c r="R266" s="190"/>
      <c r="S266" s="195"/>
    </row>
    <row r="267" spans="2:19" outlineLevel="1" x14ac:dyDescent="0.3">
      <c r="B267" s="47"/>
      <c r="C267" s="12"/>
      <c r="D267" s="16">
        <f t="shared" si="25"/>
        <v>50</v>
      </c>
      <c r="E267" s="34">
        <f t="shared" si="26"/>
        <v>0.14000000000000001</v>
      </c>
      <c r="F267" s="11">
        <f t="shared" si="30"/>
        <v>55</v>
      </c>
      <c r="G267" s="116"/>
      <c r="H267" s="118"/>
      <c r="I267" s="118"/>
      <c r="J267" s="124">
        <f t="shared" si="31"/>
        <v>7.0000000000000009</v>
      </c>
      <c r="N267" s="190"/>
      <c r="O267" s="194"/>
      <c r="P267" s="190"/>
      <c r="Q267" s="194"/>
      <c r="R267" s="190"/>
      <c r="S267" s="195"/>
    </row>
    <row r="268" spans="2:19" outlineLevel="1" x14ac:dyDescent="0.3">
      <c r="B268" s="47"/>
      <c r="C268" s="12"/>
      <c r="D268" s="16">
        <f t="shared" si="25"/>
        <v>50</v>
      </c>
      <c r="E268" s="34">
        <f t="shared" si="26"/>
        <v>0.14000000000000001</v>
      </c>
      <c r="F268" s="11">
        <f t="shared" si="30"/>
        <v>56</v>
      </c>
      <c r="G268" s="116"/>
      <c r="H268" s="118"/>
      <c r="I268" s="118"/>
      <c r="J268" s="124">
        <f t="shared" si="31"/>
        <v>7.0000000000000009</v>
      </c>
      <c r="N268" s="190"/>
      <c r="O268" s="194"/>
      <c r="P268" s="190"/>
      <c r="Q268" s="194"/>
      <c r="R268" s="190"/>
      <c r="S268" s="195"/>
    </row>
    <row r="269" spans="2:19" outlineLevel="1" x14ac:dyDescent="0.3">
      <c r="B269" s="47"/>
      <c r="C269" s="12"/>
      <c r="D269" s="16">
        <f t="shared" si="25"/>
        <v>50</v>
      </c>
      <c r="E269" s="34">
        <f t="shared" si="26"/>
        <v>0.14000000000000001</v>
      </c>
      <c r="F269" s="11">
        <f t="shared" si="30"/>
        <v>57</v>
      </c>
      <c r="G269" s="116"/>
      <c r="H269" s="118"/>
      <c r="I269" s="118"/>
      <c r="J269" s="124">
        <f t="shared" si="31"/>
        <v>7.0000000000000009</v>
      </c>
      <c r="N269" s="190"/>
      <c r="O269" s="194"/>
      <c r="P269" s="190"/>
      <c r="Q269" s="194"/>
      <c r="R269" s="190"/>
      <c r="S269" s="195"/>
    </row>
    <row r="270" spans="2:19" outlineLevel="1" x14ac:dyDescent="0.3">
      <c r="B270" s="47"/>
      <c r="C270" s="12"/>
      <c r="D270" s="16">
        <f t="shared" si="25"/>
        <v>50</v>
      </c>
      <c r="E270" s="34">
        <f t="shared" si="26"/>
        <v>0.14000000000000001</v>
      </c>
      <c r="F270" s="11">
        <f t="shared" si="30"/>
        <v>58</v>
      </c>
      <c r="G270" s="116"/>
      <c r="H270" s="118"/>
      <c r="I270" s="118"/>
      <c r="J270" s="124">
        <f t="shared" si="31"/>
        <v>7.0000000000000009</v>
      </c>
      <c r="N270" s="190"/>
      <c r="O270" s="194"/>
      <c r="P270" s="190"/>
      <c r="Q270" s="194"/>
      <c r="R270" s="190"/>
      <c r="S270" s="195"/>
    </row>
    <row r="271" spans="2:19" outlineLevel="1" x14ac:dyDescent="0.3">
      <c r="B271" s="47"/>
      <c r="C271" s="12"/>
      <c r="D271" s="16">
        <f t="shared" si="25"/>
        <v>50</v>
      </c>
      <c r="E271" s="34">
        <f t="shared" si="26"/>
        <v>0.14000000000000001</v>
      </c>
      <c r="F271" s="11">
        <f t="shared" si="30"/>
        <v>59</v>
      </c>
      <c r="G271" s="116"/>
      <c r="H271" s="118"/>
      <c r="I271" s="118"/>
      <c r="J271" s="124">
        <f t="shared" si="31"/>
        <v>7.0000000000000009</v>
      </c>
      <c r="N271" s="190"/>
      <c r="O271" s="194"/>
      <c r="P271" s="190"/>
      <c r="Q271" s="194"/>
      <c r="R271" s="190"/>
      <c r="S271" s="195"/>
    </row>
    <row r="272" spans="2:19" outlineLevel="1" x14ac:dyDescent="0.3">
      <c r="B272" s="47"/>
      <c r="C272" s="12"/>
      <c r="D272" s="16">
        <f t="shared" si="25"/>
        <v>50</v>
      </c>
      <c r="E272" s="34">
        <f t="shared" si="26"/>
        <v>0.14000000000000001</v>
      </c>
      <c r="F272" s="11">
        <f t="shared" si="30"/>
        <v>60</v>
      </c>
      <c r="G272" s="116"/>
      <c r="H272" s="118"/>
      <c r="I272" s="118"/>
      <c r="J272" s="124">
        <f t="shared" si="31"/>
        <v>7.0000000000000009</v>
      </c>
      <c r="N272" s="190"/>
      <c r="O272" s="194"/>
      <c r="P272" s="190"/>
      <c r="Q272" s="194"/>
      <c r="R272" s="190"/>
      <c r="S272" s="195"/>
    </row>
    <row r="273" spans="2:19" outlineLevel="1" x14ac:dyDescent="0.3">
      <c r="B273" s="47"/>
      <c r="C273" s="12"/>
      <c r="D273" s="16">
        <f t="shared" si="25"/>
        <v>50</v>
      </c>
      <c r="E273" s="34">
        <f t="shared" si="26"/>
        <v>0.14000000000000001</v>
      </c>
      <c r="F273" s="11">
        <f t="shared" si="30"/>
        <v>61</v>
      </c>
      <c r="G273" s="116"/>
      <c r="H273" s="118"/>
      <c r="I273" s="118"/>
      <c r="J273" s="124">
        <f t="shared" si="31"/>
        <v>7.0000000000000009</v>
      </c>
      <c r="N273" s="190"/>
      <c r="O273" s="194"/>
      <c r="P273" s="190"/>
      <c r="Q273" s="194"/>
      <c r="R273" s="190"/>
      <c r="S273" s="195"/>
    </row>
    <row r="274" spans="2:19" outlineLevel="1" x14ac:dyDescent="0.3">
      <c r="B274" s="47"/>
      <c r="C274" s="12"/>
      <c r="D274" s="16">
        <f t="shared" si="25"/>
        <v>50</v>
      </c>
      <c r="E274" s="34">
        <f t="shared" si="26"/>
        <v>0.14000000000000001</v>
      </c>
      <c r="F274" s="11">
        <f t="shared" si="30"/>
        <v>62</v>
      </c>
      <c r="G274" s="116"/>
      <c r="H274" s="118"/>
      <c r="I274" s="118"/>
      <c r="J274" s="124">
        <f t="shared" si="31"/>
        <v>7.0000000000000009</v>
      </c>
      <c r="N274" s="190"/>
      <c r="O274" s="194"/>
      <c r="P274" s="190"/>
      <c r="Q274" s="194"/>
      <c r="R274" s="190"/>
      <c r="S274" s="195"/>
    </row>
    <row r="275" spans="2:19" outlineLevel="1" x14ac:dyDescent="0.3">
      <c r="B275" s="47"/>
      <c r="C275" s="12"/>
      <c r="D275" s="16">
        <f t="shared" si="25"/>
        <v>50</v>
      </c>
      <c r="E275" s="34">
        <f t="shared" si="26"/>
        <v>0.14000000000000001</v>
      </c>
      <c r="F275" s="11">
        <f t="shared" si="30"/>
        <v>63</v>
      </c>
      <c r="G275" s="116"/>
      <c r="H275" s="118"/>
      <c r="I275" s="118"/>
      <c r="J275" s="124">
        <f t="shared" si="31"/>
        <v>7.0000000000000009</v>
      </c>
      <c r="N275" s="190"/>
      <c r="O275" s="194"/>
      <c r="P275" s="190"/>
      <c r="Q275" s="194"/>
      <c r="R275" s="190"/>
      <c r="S275" s="195"/>
    </row>
    <row r="276" spans="2:19" outlineLevel="1" x14ac:dyDescent="0.3">
      <c r="B276" s="47"/>
      <c r="C276" s="12"/>
      <c r="D276" s="16">
        <f t="shared" si="25"/>
        <v>50</v>
      </c>
      <c r="E276" s="34">
        <f t="shared" si="26"/>
        <v>0.14000000000000001</v>
      </c>
      <c r="F276" s="11">
        <f t="shared" si="30"/>
        <v>64</v>
      </c>
      <c r="G276" s="116"/>
      <c r="H276" s="118"/>
      <c r="I276" s="118"/>
      <c r="J276" s="124">
        <f t="shared" si="31"/>
        <v>7.0000000000000009</v>
      </c>
      <c r="N276" s="190"/>
      <c r="O276" s="194"/>
      <c r="P276" s="190"/>
      <c r="Q276" s="194"/>
      <c r="R276" s="190"/>
      <c r="S276" s="195"/>
    </row>
    <row r="277" spans="2:19" outlineLevel="1" x14ac:dyDescent="0.3">
      <c r="B277" s="47"/>
      <c r="C277" s="12"/>
      <c r="D277" s="16">
        <f t="shared" si="25"/>
        <v>50</v>
      </c>
      <c r="E277" s="34">
        <f t="shared" si="26"/>
        <v>0.14000000000000001</v>
      </c>
      <c r="F277" s="11">
        <f t="shared" si="30"/>
        <v>65</v>
      </c>
      <c r="G277" s="116"/>
      <c r="H277" s="118"/>
      <c r="I277" s="118"/>
      <c r="J277" s="124">
        <f t="shared" si="31"/>
        <v>7.0000000000000009</v>
      </c>
      <c r="N277" s="190"/>
      <c r="O277" s="194"/>
      <c r="P277" s="190"/>
      <c r="Q277" s="194"/>
      <c r="R277" s="190"/>
      <c r="S277" s="195"/>
    </row>
    <row r="278" spans="2:19" outlineLevel="1" x14ac:dyDescent="0.3">
      <c r="B278" s="47"/>
      <c r="C278" s="12"/>
      <c r="D278" s="16">
        <f t="shared" ref="D278:D332" si="32">$C$22/($C$23*12)</f>
        <v>50</v>
      </c>
      <c r="E278" s="34">
        <f t="shared" ref="E278:E332" si="33">$C$24</f>
        <v>0.14000000000000001</v>
      </c>
      <c r="F278" s="11">
        <f t="shared" si="30"/>
        <v>66</v>
      </c>
      <c r="G278" s="116"/>
      <c r="H278" s="118"/>
      <c r="I278" s="118"/>
      <c r="J278" s="124">
        <f t="shared" si="31"/>
        <v>7.0000000000000009</v>
      </c>
      <c r="N278" s="190"/>
      <c r="O278" s="194"/>
      <c r="P278" s="190"/>
      <c r="Q278" s="194"/>
      <c r="R278" s="190"/>
      <c r="S278" s="195"/>
    </row>
    <row r="279" spans="2:19" outlineLevel="1" x14ac:dyDescent="0.3">
      <c r="B279" s="47"/>
      <c r="C279" s="12"/>
      <c r="D279" s="16">
        <f t="shared" si="32"/>
        <v>50</v>
      </c>
      <c r="E279" s="34">
        <f t="shared" si="33"/>
        <v>0.14000000000000001</v>
      </c>
      <c r="F279" s="11">
        <f t="shared" si="30"/>
        <v>67</v>
      </c>
      <c r="G279" s="116"/>
      <c r="H279" s="118"/>
      <c r="I279" s="118"/>
      <c r="J279" s="124">
        <f t="shared" si="31"/>
        <v>7.0000000000000009</v>
      </c>
      <c r="N279" s="190"/>
      <c r="O279" s="194"/>
      <c r="P279" s="190"/>
      <c r="Q279" s="194"/>
      <c r="R279" s="190"/>
      <c r="S279" s="195"/>
    </row>
    <row r="280" spans="2:19" outlineLevel="1" x14ac:dyDescent="0.3">
      <c r="B280" s="47"/>
      <c r="C280" s="12"/>
      <c r="D280" s="16">
        <f t="shared" si="32"/>
        <v>50</v>
      </c>
      <c r="E280" s="34">
        <f t="shared" si="33"/>
        <v>0.14000000000000001</v>
      </c>
      <c r="F280" s="11">
        <f t="shared" ref="F280:F332" si="34">F279+1</f>
        <v>68</v>
      </c>
      <c r="G280" s="116"/>
      <c r="H280" s="118"/>
      <c r="I280" s="118"/>
      <c r="J280" s="124">
        <f t="shared" si="31"/>
        <v>7.0000000000000009</v>
      </c>
      <c r="N280" s="190"/>
      <c r="O280" s="194"/>
      <c r="P280" s="190"/>
      <c r="Q280" s="194"/>
      <c r="R280" s="190"/>
      <c r="S280" s="195"/>
    </row>
    <row r="281" spans="2:19" outlineLevel="1" x14ac:dyDescent="0.3">
      <c r="B281" s="47"/>
      <c r="C281" s="12"/>
      <c r="D281" s="16">
        <f t="shared" si="32"/>
        <v>50</v>
      </c>
      <c r="E281" s="34">
        <f t="shared" si="33"/>
        <v>0.14000000000000001</v>
      </c>
      <c r="F281" s="11">
        <f t="shared" si="34"/>
        <v>69</v>
      </c>
      <c r="G281" s="116"/>
      <c r="H281" s="118"/>
      <c r="I281" s="118"/>
      <c r="J281" s="124">
        <f t="shared" si="31"/>
        <v>7.0000000000000009</v>
      </c>
      <c r="N281" s="190"/>
      <c r="O281" s="194"/>
      <c r="P281" s="190"/>
      <c r="Q281" s="194"/>
      <c r="R281" s="190"/>
      <c r="S281" s="195"/>
    </row>
    <row r="282" spans="2:19" outlineLevel="1" x14ac:dyDescent="0.3">
      <c r="B282" s="47"/>
      <c r="C282" s="12"/>
      <c r="D282" s="16">
        <f t="shared" si="32"/>
        <v>50</v>
      </c>
      <c r="E282" s="34">
        <f t="shared" si="33"/>
        <v>0.14000000000000001</v>
      </c>
      <c r="F282" s="11">
        <f t="shared" si="34"/>
        <v>70</v>
      </c>
      <c r="G282" s="116"/>
      <c r="H282" s="118"/>
      <c r="I282" s="118"/>
      <c r="J282" s="124">
        <f t="shared" si="31"/>
        <v>7.0000000000000009</v>
      </c>
      <c r="N282" s="190"/>
      <c r="O282" s="194"/>
      <c r="P282" s="190"/>
      <c r="Q282" s="194"/>
      <c r="R282" s="190"/>
      <c r="S282" s="195"/>
    </row>
    <row r="283" spans="2:19" outlineLevel="1" x14ac:dyDescent="0.3">
      <c r="B283" s="47"/>
      <c r="C283" s="12"/>
      <c r="D283" s="16">
        <f t="shared" si="32"/>
        <v>50</v>
      </c>
      <c r="E283" s="34">
        <f t="shared" si="33"/>
        <v>0.14000000000000001</v>
      </c>
      <c r="F283" s="11">
        <f t="shared" si="34"/>
        <v>71</v>
      </c>
      <c r="G283" s="116"/>
      <c r="H283" s="118"/>
      <c r="I283" s="118"/>
      <c r="J283" s="124">
        <f t="shared" si="31"/>
        <v>7.0000000000000009</v>
      </c>
      <c r="N283" s="190"/>
      <c r="O283" s="194"/>
      <c r="P283" s="190"/>
      <c r="Q283" s="194"/>
      <c r="R283" s="190"/>
      <c r="S283" s="195"/>
    </row>
    <row r="284" spans="2:19" outlineLevel="1" x14ac:dyDescent="0.3">
      <c r="B284" s="47"/>
      <c r="C284" s="12"/>
      <c r="D284" s="16">
        <f t="shared" si="32"/>
        <v>50</v>
      </c>
      <c r="E284" s="34">
        <f t="shared" si="33"/>
        <v>0.14000000000000001</v>
      </c>
      <c r="F284" s="11">
        <f t="shared" si="34"/>
        <v>72</v>
      </c>
      <c r="G284" s="116"/>
      <c r="H284" s="118"/>
      <c r="I284" s="118"/>
      <c r="J284" s="124">
        <f t="shared" si="31"/>
        <v>7.0000000000000009</v>
      </c>
      <c r="N284" s="190"/>
      <c r="O284" s="194"/>
      <c r="P284" s="190"/>
      <c r="Q284" s="194"/>
      <c r="R284" s="190"/>
      <c r="S284" s="195"/>
    </row>
    <row r="285" spans="2:19" outlineLevel="1" x14ac:dyDescent="0.3">
      <c r="B285" s="47"/>
      <c r="C285" s="12"/>
      <c r="D285" s="16">
        <f t="shared" si="32"/>
        <v>50</v>
      </c>
      <c r="E285" s="34">
        <f t="shared" si="33"/>
        <v>0.14000000000000001</v>
      </c>
      <c r="F285" s="11">
        <f t="shared" si="34"/>
        <v>73</v>
      </c>
      <c r="G285" s="116"/>
      <c r="H285" s="118"/>
      <c r="I285" s="118"/>
      <c r="J285" s="124">
        <f t="shared" si="31"/>
        <v>7.0000000000000009</v>
      </c>
      <c r="N285" s="190"/>
      <c r="O285" s="194"/>
      <c r="P285" s="190"/>
      <c r="Q285" s="194"/>
      <c r="R285" s="190"/>
      <c r="S285" s="195"/>
    </row>
    <row r="286" spans="2:19" outlineLevel="1" x14ac:dyDescent="0.3">
      <c r="B286" s="47"/>
      <c r="C286" s="12"/>
      <c r="D286" s="16">
        <f t="shared" si="32"/>
        <v>50</v>
      </c>
      <c r="E286" s="34">
        <f t="shared" si="33"/>
        <v>0.14000000000000001</v>
      </c>
      <c r="F286" s="11">
        <f t="shared" si="34"/>
        <v>74</v>
      </c>
      <c r="G286" s="116"/>
      <c r="H286" s="118"/>
      <c r="I286" s="118"/>
      <c r="J286" s="124">
        <f t="shared" si="31"/>
        <v>7.0000000000000009</v>
      </c>
      <c r="N286" s="190"/>
      <c r="O286" s="194"/>
      <c r="P286" s="190"/>
      <c r="Q286" s="194"/>
      <c r="R286" s="190"/>
      <c r="S286" s="195"/>
    </row>
    <row r="287" spans="2:19" outlineLevel="1" x14ac:dyDescent="0.3">
      <c r="B287" s="47"/>
      <c r="C287" s="12"/>
      <c r="D287" s="16">
        <f t="shared" si="32"/>
        <v>50</v>
      </c>
      <c r="E287" s="34">
        <f t="shared" si="33"/>
        <v>0.14000000000000001</v>
      </c>
      <c r="F287" s="11">
        <f t="shared" si="34"/>
        <v>75</v>
      </c>
      <c r="G287" s="116"/>
      <c r="H287" s="118"/>
      <c r="I287" s="118"/>
      <c r="J287" s="124">
        <f t="shared" si="31"/>
        <v>7.0000000000000009</v>
      </c>
      <c r="N287" s="190"/>
      <c r="O287" s="194"/>
      <c r="P287" s="190"/>
      <c r="Q287" s="194"/>
      <c r="R287" s="190"/>
      <c r="S287" s="195"/>
    </row>
    <row r="288" spans="2:19" outlineLevel="1" x14ac:dyDescent="0.3">
      <c r="B288" s="47"/>
      <c r="C288" s="12"/>
      <c r="D288" s="16">
        <f t="shared" si="32"/>
        <v>50</v>
      </c>
      <c r="E288" s="34">
        <f t="shared" si="33"/>
        <v>0.14000000000000001</v>
      </c>
      <c r="F288" s="11">
        <f t="shared" si="34"/>
        <v>76</v>
      </c>
      <c r="G288" s="116"/>
      <c r="H288" s="118"/>
      <c r="I288" s="118"/>
      <c r="J288" s="124">
        <f t="shared" si="31"/>
        <v>7.0000000000000009</v>
      </c>
      <c r="N288" s="190"/>
      <c r="O288" s="194"/>
      <c r="P288" s="190"/>
      <c r="Q288" s="194"/>
      <c r="R288" s="190"/>
      <c r="S288" s="195"/>
    </row>
    <row r="289" spans="2:19" outlineLevel="1" x14ac:dyDescent="0.3">
      <c r="B289" s="47"/>
      <c r="C289" s="12"/>
      <c r="D289" s="16">
        <f t="shared" si="32"/>
        <v>50</v>
      </c>
      <c r="E289" s="34">
        <f t="shared" si="33"/>
        <v>0.14000000000000001</v>
      </c>
      <c r="F289" s="11">
        <f t="shared" si="34"/>
        <v>77</v>
      </c>
      <c r="G289" s="116"/>
      <c r="H289" s="118"/>
      <c r="I289" s="118"/>
      <c r="J289" s="124">
        <f t="shared" si="31"/>
        <v>7.0000000000000009</v>
      </c>
      <c r="N289" s="190"/>
      <c r="O289" s="194"/>
      <c r="P289" s="190"/>
      <c r="Q289" s="194"/>
      <c r="R289" s="190"/>
      <c r="S289" s="195"/>
    </row>
    <row r="290" spans="2:19" outlineLevel="1" x14ac:dyDescent="0.3">
      <c r="B290" s="47"/>
      <c r="C290" s="12"/>
      <c r="D290" s="16">
        <f t="shared" si="32"/>
        <v>50</v>
      </c>
      <c r="E290" s="34">
        <f t="shared" si="33"/>
        <v>0.14000000000000001</v>
      </c>
      <c r="F290" s="11">
        <f t="shared" si="34"/>
        <v>78</v>
      </c>
      <c r="G290" s="116"/>
      <c r="H290" s="118"/>
      <c r="I290" s="118"/>
      <c r="J290" s="124">
        <f t="shared" ref="J290:J332" si="35">D290*E290</f>
        <v>7.0000000000000009</v>
      </c>
      <c r="N290" s="190"/>
      <c r="O290" s="194"/>
      <c r="P290" s="190"/>
      <c r="Q290" s="194"/>
      <c r="R290" s="190"/>
      <c r="S290" s="195"/>
    </row>
    <row r="291" spans="2:19" outlineLevel="1" x14ac:dyDescent="0.3">
      <c r="B291" s="47"/>
      <c r="C291" s="12"/>
      <c r="D291" s="16">
        <f t="shared" si="32"/>
        <v>50</v>
      </c>
      <c r="E291" s="34">
        <f t="shared" si="33"/>
        <v>0.14000000000000001</v>
      </c>
      <c r="F291" s="11">
        <f t="shared" si="34"/>
        <v>79</v>
      </c>
      <c r="G291" s="116"/>
      <c r="H291" s="118"/>
      <c r="I291" s="118"/>
      <c r="J291" s="124">
        <f t="shared" si="35"/>
        <v>7.0000000000000009</v>
      </c>
      <c r="N291" s="190"/>
      <c r="O291" s="194"/>
      <c r="P291" s="190"/>
      <c r="Q291" s="194"/>
      <c r="R291" s="190"/>
      <c r="S291" s="195"/>
    </row>
    <row r="292" spans="2:19" outlineLevel="1" x14ac:dyDescent="0.3">
      <c r="B292" s="47"/>
      <c r="C292" s="12"/>
      <c r="D292" s="16">
        <f t="shared" si="32"/>
        <v>50</v>
      </c>
      <c r="E292" s="34">
        <f t="shared" si="33"/>
        <v>0.14000000000000001</v>
      </c>
      <c r="F292" s="11">
        <f t="shared" si="34"/>
        <v>80</v>
      </c>
      <c r="G292" s="116"/>
      <c r="H292" s="118"/>
      <c r="I292" s="118"/>
      <c r="J292" s="124">
        <f t="shared" si="35"/>
        <v>7.0000000000000009</v>
      </c>
      <c r="N292" s="190"/>
      <c r="O292" s="194"/>
      <c r="P292" s="190"/>
      <c r="Q292" s="194"/>
      <c r="R292" s="190"/>
      <c r="S292" s="195"/>
    </row>
    <row r="293" spans="2:19" outlineLevel="1" x14ac:dyDescent="0.3">
      <c r="B293" s="47"/>
      <c r="C293" s="12"/>
      <c r="D293" s="16">
        <f t="shared" si="32"/>
        <v>50</v>
      </c>
      <c r="E293" s="34">
        <f t="shared" si="33"/>
        <v>0.14000000000000001</v>
      </c>
      <c r="F293" s="11">
        <f t="shared" si="34"/>
        <v>81</v>
      </c>
      <c r="G293" s="116"/>
      <c r="H293" s="118"/>
      <c r="I293" s="118"/>
      <c r="J293" s="124">
        <f t="shared" si="35"/>
        <v>7.0000000000000009</v>
      </c>
      <c r="N293" s="190"/>
      <c r="O293" s="194"/>
      <c r="P293" s="190"/>
      <c r="Q293" s="194"/>
      <c r="R293" s="190"/>
      <c r="S293" s="195"/>
    </row>
    <row r="294" spans="2:19" outlineLevel="1" x14ac:dyDescent="0.3">
      <c r="B294" s="47"/>
      <c r="C294" s="12"/>
      <c r="D294" s="16">
        <f t="shared" si="32"/>
        <v>50</v>
      </c>
      <c r="E294" s="34">
        <f t="shared" si="33"/>
        <v>0.14000000000000001</v>
      </c>
      <c r="F294" s="11">
        <f t="shared" si="34"/>
        <v>82</v>
      </c>
      <c r="G294" s="116"/>
      <c r="H294" s="118"/>
      <c r="I294" s="118"/>
      <c r="J294" s="124">
        <f t="shared" si="35"/>
        <v>7.0000000000000009</v>
      </c>
      <c r="N294" s="190"/>
      <c r="O294" s="194"/>
      <c r="P294" s="190"/>
      <c r="Q294" s="194"/>
      <c r="R294" s="190"/>
      <c r="S294" s="195"/>
    </row>
    <row r="295" spans="2:19" outlineLevel="1" x14ac:dyDescent="0.3">
      <c r="B295" s="47"/>
      <c r="C295" s="12"/>
      <c r="D295" s="16">
        <f t="shared" si="32"/>
        <v>50</v>
      </c>
      <c r="E295" s="34">
        <f t="shared" si="33"/>
        <v>0.14000000000000001</v>
      </c>
      <c r="F295" s="11">
        <f t="shared" si="34"/>
        <v>83</v>
      </c>
      <c r="G295" s="116"/>
      <c r="H295" s="118"/>
      <c r="I295" s="118"/>
      <c r="J295" s="124">
        <f t="shared" si="35"/>
        <v>7.0000000000000009</v>
      </c>
      <c r="N295" s="190"/>
      <c r="O295" s="194"/>
      <c r="P295" s="190"/>
      <c r="Q295" s="194"/>
      <c r="R295" s="190"/>
      <c r="S295" s="195"/>
    </row>
    <row r="296" spans="2:19" outlineLevel="1" x14ac:dyDescent="0.3">
      <c r="B296" s="47"/>
      <c r="C296" s="12"/>
      <c r="D296" s="16">
        <f t="shared" si="32"/>
        <v>50</v>
      </c>
      <c r="E296" s="34">
        <f t="shared" si="33"/>
        <v>0.14000000000000001</v>
      </c>
      <c r="F296" s="11">
        <f t="shared" si="34"/>
        <v>84</v>
      </c>
      <c r="G296" s="116"/>
      <c r="H296" s="118"/>
      <c r="I296" s="118"/>
      <c r="J296" s="124">
        <f t="shared" si="35"/>
        <v>7.0000000000000009</v>
      </c>
      <c r="N296" s="190"/>
      <c r="O296" s="194"/>
      <c r="P296" s="190"/>
      <c r="Q296" s="194"/>
      <c r="R296" s="190"/>
      <c r="S296" s="195"/>
    </row>
    <row r="297" spans="2:19" outlineLevel="1" x14ac:dyDescent="0.3">
      <c r="B297" s="47"/>
      <c r="C297" s="12"/>
      <c r="D297" s="16">
        <f t="shared" si="32"/>
        <v>50</v>
      </c>
      <c r="E297" s="34">
        <f t="shared" si="33"/>
        <v>0.14000000000000001</v>
      </c>
      <c r="F297" s="11">
        <f t="shared" si="34"/>
        <v>85</v>
      </c>
      <c r="G297" s="116"/>
      <c r="H297" s="118"/>
      <c r="I297" s="118"/>
      <c r="J297" s="124">
        <f t="shared" si="35"/>
        <v>7.0000000000000009</v>
      </c>
      <c r="N297" s="190"/>
      <c r="O297" s="194"/>
      <c r="P297" s="190"/>
      <c r="Q297" s="194"/>
      <c r="R297" s="190"/>
      <c r="S297" s="195"/>
    </row>
    <row r="298" spans="2:19" outlineLevel="1" x14ac:dyDescent="0.3">
      <c r="B298" s="47"/>
      <c r="C298" s="12"/>
      <c r="D298" s="16">
        <f t="shared" si="32"/>
        <v>50</v>
      </c>
      <c r="E298" s="34">
        <f t="shared" si="33"/>
        <v>0.14000000000000001</v>
      </c>
      <c r="F298" s="11">
        <f t="shared" si="34"/>
        <v>86</v>
      </c>
      <c r="G298" s="116"/>
      <c r="H298" s="118"/>
      <c r="I298" s="118"/>
      <c r="J298" s="124">
        <f t="shared" si="35"/>
        <v>7.0000000000000009</v>
      </c>
      <c r="N298" s="190"/>
      <c r="O298" s="194"/>
      <c r="P298" s="190"/>
      <c r="Q298" s="194"/>
      <c r="R298" s="190"/>
      <c r="S298" s="195"/>
    </row>
    <row r="299" spans="2:19" outlineLevel="1" x14ac:dyDescent="0.3">
      <c r="B299" s="47"/>
      <c r="C299" s="12"/>
      <c r="D299" s="16">
        <f t="shared" si="32"/>
        <v>50</v>
      </c>
      <c r="E299" s="34">
        <f t="shared" si="33"/>
        <v>0.14000000000000001</v>
      </c>
      <c r="F299" s="11">
        <f t="shared" si="34"/>
        <v>87</v>
      </c>
      <c r="G299" s="116"/>
      <c r="H299" s="118"/>
      <c r="I299" s="118"/>
      <c r="J299" s="124">
        <f t="shared" si="35"/>
        <v>7.0000000000000009</v>
      </c>
      <c r="N299" s="190"/>
      <c r="O299" s="194"/>
      <c r="P299" s="190"/>
      <c r="Q299" s="194"/>
      <c r="R299" s="190"/>
      <c r="S299" s="195"/>
    </row>
    <row r="300" spans="2:19" outlineLevel="1" x14ac:dyDescent="0.3">
      <c r="B300" s="47"/>
      <c r="C300" s="12"/>
      <c r="D300" s="16">
        <f t="shared" si="32"/>
        <v>50</v>
      </c>
      <c r="E300" s="34">
        <f t="shared" si="33"/>
        <v>0.14000000000000001</v>
      </c>
      <c r="F300" s="11">
        <f t="shared" si="34"/>
        <v>88</v>
      </c>
      <c r="G300" s="116"/>
      <c r="H300" s="118"/>
      <c r="I300" s="118"/>
      <c r="J300" s="124">
        <f t="shared" si="35"/>
        <v>7.0000000000000009</v>
      </c>
      <c r="N300" s="190"/>
      <c r="O300" s="194"/>
      <c r="P300" s="190"/>
      <c r="Q300" s="194"/>
      <c r="R300" s="190"/>
      <c r="S300" s="195"/>
    </row>
    <row r="301" spans="2:19" outlineLevel="1" x14ac:dyDescent="0.3">
      <c r="B301" s="47"/>
      <c r="C301" s="12"/>
      <c r="D301" s="16">
        <f t="shared" si="32"/>
        <v>50</v>
      </c>
      <c r="E301" s="34">
        <f t="shared" si="33"/>
        <v>0.14000000000000001</v>
      </c>
      <c r="F301" s="11">
        <f t="shared" si="34"/>
        <v>89</v>
      </c>
      <c r="G301" s="116"/>
      <c r="H301" s="118"/>
      <c r="I301" s="118"/>
      <c r="J301" s="124">
        <f t="shared" si="35"/>
        <v>7.0000000000000009</v>
      </c>
      <c r="N301" s="190"/>
      <c r="O301" s="194"/>
      <c r="P301" s="190"/>
      <c r="Q301" s="194"/>
      <c r="R301" s="190"/>
      <c r="S301" s="195"/>
    </row>
    <row r="302" spans="2:19" outlineLevel="1" x14ac:dyDescent="0.3">
      <c r="B302" s="47"/>
      <c r="C302" s="12"/>
      <c r="D302" s="16">
        <f t="shared" si="32"/>
        <v>50</v>
      </c>
      <c r="E302" s="34">
        <f t="shared" si="33"/>
        <v>0.14000000000000001</v>
      </c>
      <c r="F302" s="11">
        <f t="shared" si="34"/>
        <v>90</v>
      </c>
      <c r="G302" s="116"/>
      <c r="H302" s="118"/>
      <c r="I302" s="118"/>
      <c r="J302" s="124">
        <f t="shared" si="35"/>
        <v>7.0000000000000009</v>
      </c>
      <c r="N302" s="190"/>
      <c r="O302" s="194"/>
      <c r="P302" s="190"/>
      <c r="Q302" s="194"/>
      <c r="R302" s="190"/>
      <c r="S302" s="195"/>
    </row>
    <row r="303" spans="2:19" outlineLevel="1" x14ac:dyDescent="0.3">
      <c r="B303" s="47"/>
      <c r="C303" s="12"/>
      <c r="D303" s="16">
        <f t="shared" si="32"/>
        <v>50</v>
      </c>
      <c r="E303" s="34">
        <f t="shared" si="33"/>
        <v>0.14000000000000001</v>
      </c>
      <c r="F303" s="11">
        <f t="shared" si="34"/>
        <v>91</v>
      </c>
      <c r="G303" s="116"/>
      <c r="H303" s="118"/>
      <c r="I303" s="118"/>
      <c r="J303" s="124">
        <f t="shared" si="35"/>
        <v>7.0000000000000009</v>
      </c>
      <c r="N303" s="190"/>
      <c r="O303" s="194"/>
      <c r="P303" s="190"/>
      <c r="Q303" s="194"/>
      <c r="R303" s="190"/>
      <c r="S303" s="195"/>
    </row>
    <row r="304" spans="2:19" outlineLevel="1" x14ac:dyDescent="0.3">
      <c r="B304" s="47"/>
      <c r="C304" s="12"/>
      <c r="D304" s="16">
        <f t="shared" si="32"/>
        <v>50</v>
      </c>
      <c r="E304" s="34">
        <f t="shared" si="33"/>
        <v>0.14000000000000001</v>
      </c>
      <c r="F304" s="11">
        <f t="shared" si="34"/>
        <v>92</v>
      </c>
      <c r="G304" s="116"/>
      <c r="H304" s="118"/>
      <c r="I304" s="118"/>
      <c r="J304" s="124">
        <f t="shared" si="35"/>
        <v>7.0000000000000009</v>
      </c>
      <c r="N304" s="190"/>
      <c r="O304" s="194"/>
      <c r="P304" s="190"/>
      <c r="Q304" s="194"/>
      <c r="R304" s="190"/>
      <c r="S304" s="195"/>
    </row>
    <row r="305" spans="2:19" outlineLevel="1" x14ac:dyDescent="0.3">
      <c r="B305" s="47"/>
      <c r="C305" s="12"/>
      <c r="D305" s="16">
        <f t="shared" si="32"/>
        <v>50</v>
      </c>
      <c r="E305" s="34">
        <f t="shared" si="33"/>
        <v>0.14000000000000001</v>
      </c>
      <c r="F305" s="11">
        <f t="shared" si="34"/>
        <v>93</v>
      </c>
      <c r="G305" s="116"/>
      <c r="H305" s="118"/>
      <c r="I305" s="118"/>
      <c r="J305" s="124">
        <f t="shared" si="35"/>
        <v>7.0000000000000009</v>
      </c>
      <c r="N305" s="190"/>
      <c r="O305" s="194"/>
      <c r="P305" s="190"/>
      <c r="Q305" s="194"/>
      <c r="R305" s="190"/>
      <c r="S305" s="195"/>
    </row>
    <row r="306" spans="2:19" outlineLevel="1" x14ac:dyDescent="0.3">
      <c r="B306" s="47"/>
      <c r="C306" s="12"/>
      <c r="D306" s="16">
        <f t="shared" si="32"/>
        <v>50</v>
      </c>
      <c r="E306" s="34">
        <f t="shared" si="33"/>
        <v>0.14000000000000001</v>
      </c>
      <c r="F306" s="11">
        <f t="shared" si="34"/>
        <v>94</v>
      </c>
      <c r="G306" s="116"/>
      <c r="H306" s="118"/>
      <c r="I306" s="118"/>
      <c r="J306" s="124">
        <f t="shared" si="35"/>
        <v>7.0000000000000009</v>
      </c>
      <c r="N306" s="190"/>
      <c r="O306" s="194"/>
      <c r="P306" s="190"/>
      <c r="Q306" s="194"/>
      <c r="R306" s="190"/>
      <c r="S306" s="195"/>
    </row>
    <row r="307" spans="2:19" outlineLevel="1" x14ac:dyDescent="0.3">
      <c r="B307" s="47"/>
      <c r="C307" s="12"/>
      <c r="D307" s="16">
        <f t="shared" si="32"/>
        <v>50</v>
      </c>
      <c r="E307" s="34">
        <f t="shared" si="33"/>
        <v>0.14000000000000001</v>
      </c>
      <c r="F307" s="11">
        <f t="shared" si="34"/>
        <v>95</v>
      </c>
      <c r="G307" s="116"/>
      <c r="H307" s="118"/>
      <c r="I307" s="118"/>
      <c r="J307" s="124">
        <f t="shared" si="35"/>
        <v>7.0000000000000009</v>
      </c>
      <c r="N307" s="190"/>
      <c r="O307" s="194"/>
      <c r="P307" s="190"/>
      <c r="Q307" s="194"/>
      <c r="R307" s="190"/>
      <c r="S307" s="195"/>
    </row>
    <row r="308" spans="2:19" outlineLevel="1" x14ac:dyDescent="0.3">
      <c r="B308" s="47"/>
      <c r="C308" s="12"/>
      <c r="D308" s="16">
        <f t="shared" si="32"/>
        <v>50</v>
      </c>
      <c r="E308" s="34">
        <f t="shared" si="33"/>
        <v>0.14000000000000001</v>
      </c>
      <c r="F308" s="11">
        <f t="shared" si="34"/>
        <v>96</v>
      </c>
      <c r="G308" s="116"/>
      <c r="H308" s="118"/>
      <c r="I308" s="118"/>
      <c r="J308" s="124">
        <f t="shared" si="35"/>
        <v>7.0000000000000009</v>
      </c>
      <c r="N308" s="190"/>
      <c r="O308" s="194"/>
      <c r="P308" s="190"/>
      <c r="Q308" s="194"/>
      <c r="R308" s="190"/>
      <c r="S308" s="195"/>
    </row>
    <row r="309" spans="2:19" outlineLevel="1" x14ac:dyDescent="0.3">
      <c r="B309" s="47"/>
      <c r="C309" s="12"/>
      <c r="D309" s="16">
        <f t="shared" si="32"/>
        <v>50</v>
      </c>
      <c r="E309" s="34">
        <f t="shared" si="33"/>
        <v>0.14000000000000001</v>
      </c>
      <c r="F309" s="11">
        <f t="shared" si="34"/>
        <v>97</v>
      </c>
      <c r="G309" s="116"/>
      <c r="H309" s="118"/>
      <c r="I309" s="118"/>
      <c r="J309" s="124">
        <f t="shared" si="35"/>
        <v>7.0000000000000009</v>
      </c>
      <c r="N309" s="190"/>
      <c r="O309" s="194"/>
      <c r="P309" s="190"/>
      <c r="Q309" s="194"/>
      <c r="R309" s="190"/>
      <c r="S309" s="195"/>
    </row>
    <row r="310" spans="2:19" outlineLevel="1" x14ac:dyDescent="0.3">
      <c r="B310" s="47"/>
      <c r="C310" s="12"/>
      <c r="D310" s="16">
        <f t="shared" si="32"/>
        <v>50</v>
      </c>
      <c r="E310" s="34">
        <f t="shared" si="33"/>
        <v>0.14000000000000001</v>
      </c>
      <c r="F310" s="11">
        <f t="shared" si="34"/>
        <v>98</v>
      </c>
      <c r="G310" s="116"/>
      <c r="H310" s="118"/>
      <c r="I310" s="118"/>
      <c r="J310" s="124">
        <f t="shared" si="35"/>
        <v>7.0000000000000009</v>
      </c>
      <c r="N310" s="190"/>
      <c r="O310" s="194"/>
      <c r="P310" s="190"/>
      <c r="Q310" s="194"/>
      <c r="R310" s="190"/>
      <c r="S310" s="195"/>
    </row>
    <row r="311" spans="2:19" outlineLevel="1" x14ac:dyDescent="0.3">
      <c r="B311" s="47"/>
      <c r="C311" s="12"/>
      <c r="D311" s="16">
        <f t="shared" si="32"/>
        <v>50</v>
      </c>
      <c r="E311" s="34">
        <f t="shared" si="33"/>
        <v>0.14000000000000001</v>
      </c>
      <c r="F311" s="11">
        <f t="shared" si="34"/>
        <v>99</v>
      </c>
      <c r="G311" s="116"/>
      <c r="H311" s="118"/>
      <c r="I311" s="118"/>
      <c r="J311" s="124">
        <f t="shared" si="35"/>
        <v>7.0000000000000009</v>
      </c>
      <c r="N311" s="190"/>
      <c r="O311" s="194"/>
      <c r="P311" s="190"/>
      <c r="Q311" s="194"/>
      <c r="R311" s="190"/>
      <c r="S311" s="195"/>
    </row>
    <row r="312" spans="2:19" outlineLevel="1" x14ac:dyDescent="0.3">
      <c r="B312" s="47"/>
      <c r="C312" s="12"/>
      <c r="D312" s="16">
        <f t="shared" si="32"/>
        <v>50</v>
      </c>
      <c r="E312" s="34">
        <f t="shared" si="33"/>
        <v>0.14000000000000001</v>
      </c>
      <c r="F312" s="11">
        <f t="shared" si="34"/>
        <v>100</v>
      </c>
      <c r="G312" s="116"/>
      <c r="H312" s="118"/>
      <c r="I312" s="118"/>
      <c r="J312" s="124">
        <f t="shared" si="35"/>
        <v>7.0000000000000009</v>
      </c>
      <c r="N312" s="190"/>
      <c r="O312" s="194"/>
      <c r="P312" s="190"/>
      <c r="Q312" s="194"/>
      <c r="R312" s="190"/>
      <c r="S312" s="195"/>
    </row>
    <row r="313" spans="2:19" outlineLevel="1" x14ac:dyDescent="0.3">
      <c r="B313" s="47"/>
      <c r="C313" s="12"/>
      <c r="D313" s="16">
        <f t="shared" si="32"/>
        <v>50</v>
      </c>
      <c r="E313" s="34">
        <f t="shared" si="33"/>
        <v>0.14000000000000001</v>
      </c>
      <c r="F313" s="11">
        <f t="shared" si="34"/>
        <v>101</v>
      </c>
      <c r="G313" s="116"/>
      <c r="H313" s="118"/>
      <c r="I313" s="118"/>
      <c r="J313" s="124">
        <f t="shared" si="35"/>
        <v>7.0000000000000009</v>
      </c>
      <c r="N313" s="190"/>
      <c r="O313" s="194"/>
      <c r="P313" s="190"/>
      <c r="Q313" s="194"/>
      <c r="R313" s="190"/>
      <c r="S313" s="195"/>
    </row>
    <row r="314" spans="2:19" outlineLevel="1" x14ac:dyDescent="0.3">
      <c r="B314" s="47"/>
      <c r="C314" s="12"/>
      <c r="D314" s="16">
        <f t="shared" si="32"/>
        <v>50</v>
      </c>
      <c r="E314" s="34">
        <f t="shared" si="33"/>
        <v>0.14000000000000001</v>
      </c>
      <c r="F314" s="11">
        <f t="shared" si="34"/>
        <v>102</v>
      </c>
      <c r="G314" s="116"/>
      <c r="H314" s="118"/>
      <c r="I314" s="118"/>
      <c r="J314" s="124">
        <f t="shared" si="35"/>
        <v>7.0000000000000009</v>
      </c>
      <c r="N314" s="190"/>
      <c r="O314" s="194"/>
      <c r="P314" s="190"/>
      <c r="Q314" s="194"/>
      <c r="R314" s="190"/>
      <c r="S314" s="195"/>
    </row>
    <row r="315" spans="2:19" outlineLevel="1" x14ac:dyDescent="0.3">
      <c r="B315" s="47"/>
      <c r="C315" s="12"/>
      <c r="D315" s="16">
        <f t="shared" si="32"/>
        <v>50</v>
      </c>
      <c r="E315" s="34">
        <f t="shared" si="33"/>
        <v>0.14000000000000001</v>
      </c>
      <c r="F315" s="11">
        <f t="shared" si="34"/>
        <v>103</v>
      </c>
      <c r="G315" s="116"/>
      <c r="H315" s="118"/>
      <c r="I315" s="118"/>
      <c r="J315" s="124">
        <f t="shared" si="35"/>
        <v>7.0000000000000009</v>
      </c>
      <c r="N315" s="190"/>
      <c r="O315" s="194"/>
      <c r="P315" s="190"/>
      <c r="Q315" s="194"/>
      <c r="R315" s="190"/>
      <c r="S315" s="195"/>
    </row>
    <row r="316" spans="2:19" outlineLevel="1" x14ac:dyDescent="0.3">
      <c r="B316" s="47"/>
      <c r="C316" s="12"/>
      <c r="D316" s="16">
        <f t="shared" si="32"/>
        <v>50</v>
      </c>
      <c r="E316" s="34">
        <f t="shared" si="33"/>
        <v>0.14000000000000001</v>
      </c>
      <c r="F316" s="11">
        <f t="shared" si="34"/>
        <v>104</v>
      </c>
      <c r="G316" s="116"/>
      <c r="H316" s="118"/>
      <c r="I316" s="118"/>
      <c r="J316" s="124">
        <f t="shared" si="35"/>
        <v>7.0000000000000009</v>
      </c>
      <c r="N316" s="190"/>
      <c r="O316" s="194"/>
      <c r="P316" s="190"/>
      <c r="Q316" s="194"/>
      <c r="R316" s="190"/>
      <c r="S316" s="195"/>
    </row>
    <row r="317" spans="2:19" outlineLevel="1" x14ac:dyDescent="0.3">
      <c r="B317" s="47"/>
      <c r="C317" s="12"/>
      <c r="D317" s="16">
        <f t="shared" si="32"/>
        <v>50</v>
      </c>
      <c r="E317" s="34">
        <f t="shared" si="33"/>
        <v>0.14000000000000001</v>
      </c>
      <c r="F317" s="11">
        <f t="shared" si="34"/>
        <v>105</v>
      </c>
      <c r="G317" s="116"/>
      <c r="H317" s="118"/>
      <c r="I317" s="118"/>
      <c r="J317" s="124">
        <f t="shared" si="35"/>
        <v>7.0000000000000009</v>
      </c>
      <c r="N317" s="190"/>
      <c r="O317" s="194"/>
      <c r="P317" s="190"/>
      <c r="Q317" s="194"/>
      <c r="R317" s="190"/>
      <c r="S317" s="195"/>
    </row>
    <row r="318" spans="2:19" outlineLevel="1" x14ac:dyDescent="0.3">
      <c r="B318" s="47"/>
      <c r="C318" s="12"/>
      <c r="D318" s="16">
        <f t="shared" si="32"/>
        <v>50</v>
      </c>
      <c r="E318" s="34">
        <f t="shared" si="33"/>
        <v>0.14000000000000001</v>
      </c>
      <c r="F318" s="11">
        <f t="shared" si="34"/>
        <v>106</v>
      </c>
      <c r="G318" s="116"/>
      <c r="H318" s="118"/>
      <c r="I318" s="118"/>
      <c r="J318" s="124">
        <f t="shared" si="35"/>
        <v>7.0000000000000009</v>
      </c>
      <c r="N318" s="190"/>
      <c r="O318" s="194"/>
      <c r="P318" s="190"/>
      <c r="Q318" s="194"/>
      <c r="R318" s="190"/>
      <c r="S318" s="195"/>
    </row>
    <row r="319" spans="2:19" outlineLevel="1" x14ac:dyDescent="0.3">
      <c r="B319" s="47"/>
      <c r="C319" s="12"/>
      <c r="D319" s="16">
        <f t="shared" si="32"/>
        <v>50</v>
      </c>
      <c r="E319" s="34">
        <f t="shared" si="33"/>
        <v>0.14000000000000001</v>
      </c>
      <c r="F319" s="11">
        <f t="shared" si="34"/>
        <v>107</v>
      </c>
      <c r="G319" s="116"/>
      <c r="H319" s="118"/>
      <c r="I319" s="118"/>
      <c r="J319" s="124">
        <f t="shared" si="35"/>
        <v>7.0000000000000009</v>
      </c>
      <c r="N319" s="190"/>
      <c r="O319" s="194"/>
      <c r="P319" s="190"/>
      <c r="Q319" s="194"/>
      <c r="R319" s="190"/>
      <c r="S319" s="195"/>
    </row>
    <row r="320" spans="2:19" outlineLevel="1" x14ac:dyDescent="0.3">
      <c r="B320" s="47"/>
      <c r="C320" s="12"/>
      <c r="D320" s="16">
        <f t="shared" si="32"/>
        <v>50</v>
      </c>
      <c r="E320" s="34">
        <f t="shared" si="33"/>
        <v>0.14000000000000001</v>
      </c>
      <c r="F320" s="11">
        <f t="shared" si="34"/>
        <v>108</v>
      </c>
      <c r="G320" s="116"/>
      <c r="H320" s="118"/>
      <c r="I320" s="118"/>
      <c r="J320" s="124">
        <f t="shared" si="35"/>
        <v>7.0000000000000009</v>
      </c>
      <c r="N320" s="190"/>
      <c r="O320" s="194"/>
      <c r="P320" s="190"/>
      <c r="Q320" s="194"/>
      <c r="R320" s="190"/>
      <c r="S320" s="195"/>
    </row>
    <row r="321" spans="2:19" outlineLevel="1" x14ac:dyDescent="0.3">
      <c r="B321" s="47"/>
      <c r="C321" s="12"/>
      <c r="D321" s="16">
        <f t="shared" si="32"/>
        <v>50</v>
      </c>
      <c r="E321" s="34">
        <f t="shared" si="33"/>
        <v>0.14000000000000001</v>
      </c>
      <c r="F321" s="11">
        <f t="shared" si="34"/>
        <v>109</v>
      </c>
      <c r="G321" s="116"/>
      <c r="H321" s="118"/>
      <c r="I321" s="118"/>
      <c r="J321" s="124">
        <f t="shared" si="35"/>
        <v>7.0000000000000009</v>
      </c>
      <c r="N321" s="190"/>
      <c r="O321" s="194"/>
      <c r="P321" s="190"/>
      <c r="Q321" s="194"/>
      <c r="R321" s="190"/>
      <c r="S321" s="195"/>
    </row>
    <row r="322" spans="2:19" outlineLevel="1" x14ac:dyDescent="0.3">
      <c r="B322" s="47"/>
      <c r="C322" s="12"/>
      <c r="D322" s="16">
        <f t="shared" si="32"/>
        <v>50</v>
      </c>
      <c r="E322" s="34">
        <f t="shared" si="33"/>
        <v>0.14000000000000001</v>
      </c>
      <c r="F322" s="11">
        <f t="shared" si="34"/>
        <v>110</v>
      </c>
      <c r="G322" s="116"/>
      <c r="H322" s="118"/>
      <c r="I322" s="118"/>
      <c r="J322" s="124">
        <f t="shared" si="35"/>
        <v>7.0000000000000009</v>
      </c>
      <c r="N322" s="190"/>
      <c r="O322" s="194"/>
      <c r="P322" s="190"/>
      <c r="Q322" s="194"/>
      <c r="R322" s="190"/>
      <c r="S322" s="195"/>
    </row>
    <row r="323" spans="2:19" outlineLevel="1" x14ac:dyDescent="0.3">
      <c r="B323" s="47"/>
      <c r="C323" s="12"/>
      <c r="D323" s="16">
        <f t="shared" si="32"/>
        <v>50</v>
      </c>
      <c r="E323" s="34">
        <f t="shared" si="33"/>
        <v>0.14000000000000001</v>
      </c>
      <c r="F323" s="11">
        <f t="shared" si="34"/>
        <v>111</v>
      </c>
      <c r="G323" s="116"/>
      <c r="H323" s="118"/>
      <c r="I323" s="118"/>
      <c r="J323" s="124">
        <f t="shared" si="35"/>
        <v>7.0000000000000009</v>
      </c>
      <c r="N323" s="190"/>
      <c r="O323" s="194"/>
      <c r="P323" s="190"/>
      <c r="Q323" s="194"/>
      <c r="R323" s="190"/>
      <c r="S323" s="195"/>
    </row>
    <row r="324" spans="2:19" outlineLevel="1" x14ac:dyDescent="0.3">
      <c r="B324" s="47"/>
      <c r="C324" s="12"/>
      <c r="D324" s="16">
        <f t="shared" si="32"/>
        <v>50</v>
      </c>
      <c r="E324" s="34">
        <f t="shared" si="33"/>
        <v>0.14000000000000001</v>
      </c>
      <c r="F324" s="11">
        <f t="shared" si="34"/>
        <v>112</v>
      </c>
      <c r="G324" s="116"/>
      <c r="H324" s="118"/>
      <c r="I324" s="118"/>
      <c r="J324" s="124">
        <f t="shared" si="35"/>
        <v>7.0000000000000009</v>
      </c>
      <c r="N324" s="190"/>
      <c r="O324" s="194"/>
      <c r="P324" s="190"/>
      <c r="Q324" s="194"/>
      <c r="R324" s="190"/>
      <c r="S324" s="195"/>
    </row>
    <row r="325" spans="2:19" outlineLevel="1" x14ac:dyDescent="0.3">
      <c r="B325" s="47"/>
      <c r="C325" s="12"/>
      <c r="D325" s="16">
        <f t="shared" si="32"/>
        <v>50</v>
      </c>
      <c r="E325" s="34">
        <f t="shared" si="33"/>
        <v>0.14000000000000001</v>
      </c>
      <c r="F325" s="11">
        <f t="shared" si="34"/>
        <v>113</v>
      </c>
      <c r="G325" s="116"/>
      <c r="H325" s="118"/>
      <c r="I325" s="118"/>
      <c r="J325" s="124">
        <f t="shared" si="35"/>
        <v>7.0000000000000009</v>
      </c>
      <c r="N325" s="190"/>
      <c r="O325" s="194"/>
      <c r="P325" s="190"/>
      <c r="Q325" s="194"/>
      <c r="R325" s="190"/>
      <c r="S325" s="195"/>
    </row>
    <row r="326" spans="2:19" outlineLevel="1" x14ac:dyDescent="0.3">
      <c r="B326" s="47"/>
      <c r="C326" s="12"/>
      <c r="D326" s="16">
        <f t="shared" si="32"/>
        <v>50</v>
      </c>
      <c r="E326" s="34">
        <f t="shared" si="33"/>
        <v>0.14000000000000001</v>
      </c>
      <c r="F326" s="11">
        <f t="shared" si="34"/>
        <v>114</v>
      </c>
      <c r="G326" s="116"/>
      <c r="H326" s="118"/>
      <c r="I326" s="118"/>
      <c r="J326" s="124">
        <f t="shared" si="35"/>
        <v>7.0000000000000009</v>
      </c>
      <c r="N326" s="190"/>
      <c r="O326" s="194"/>
      <c r="P326" s="190"/>
      <c r="Q326" s="194"/>
      <c r="R326" s="190"/>
      <c r="S326" s="195"/>
    </row>
    <row r="327" spans="2:19" outlineLevel="1" x14ac:dyDescent="0.3">
      <c r="B327" s="47"/>
      <c r="C327" s="12"/>
      <c r="D327" s="16">
        <f t="shared" si="32"/>
        <v>50</v>
      </c>
      <c r="E327" s="34">
        <f t="shared" si="33"/>
        <v>0.14000000000000001</v>
      </c>
      <c r="F327" s="11">
        <f t="shared" si="34"/>
        <v>115</v>
      </c>
      <c r="G327" s="116"/>
      <c r="H327" s="118"/>
      <c r="I327" s="118"/>
      <c r="J327" s="124">
        <f t="shared" si="35"/>
        <v>7.0000000000000009</v>
      </c>
      <c r="N327" s="190"/>
      <c r="O327" s="194"/>
      <c r="P327" s="190"/>
      <c r="Q327" s="194"/>
      <c r="R327" s="190"/>
      <c r="S327" s="195"/>
    </row>
    <row r="328" spans="2:19" outlineLevel="1" x14ac:dyDescent="0.3">
      <c r="B328" s="47"/>
      <c r="C328" s="12"/>
      <c r="D328" s="16">
        <f t="shared" si="32"/>
        <v>50</v>
      </c>
      <c r="E328" s="34">
        <f t="shared" si="33"/>
        <v>0.14000000000000001</v>
      </c>
      <c r="F328" s="11">
        <f t="shared" si="34"/>
        <v>116</v>
      </c>
      <c r="G328" s="116"/>
      <c r="H328" s="118"/>
      <c r="I328" s="118"/>
      <c r="J328" s="124">
        <f t="shared" si="35"/>
        <v>7.0000000000000009</v>
      </c>
      <c r="N328" s="190"/>
      <c r="O328" s="194"/>
      <c r="P328" s="190"/>
      <c r="Q328" s="194"/>
      <c r="R328" s="190"/>
      <c r="S328" s="195"/>
    </row>
    <row r="329" spans="2:19" outlineLevel="1" x14ac:dyDescent="0.3">
      <c r="B329" s="47"/>
      <c r="C329" s="12"/>
      <c r="D329" s="16">
        <f t="shared" si="32"/>
        <v>50</v>
      </c>
      <c r="E329" s="34">
        <f t="shared" si="33"/>
        <v>0.14000000000000001</v>
      </c>
      <c r="F329" s="11">
        <f t="shared" si="34"/>
        <v>117</v>
      </c>
      <c r="G329" s="116"/>
      <c r="H329" s="118"/>
      <c r="I329" s="118"/>
      <c r="J329" s="124">
        <f t="shared" si="35"/>
        <v>7.0000000000000009</v>
      </c>
      <c r="N329" s="190"/>
      <c r="O329" s="194"/>
      <c r="P329" s="190"/>
      <c r="Q329" s="194"/>
      <c r="R329" s="190"/>
      <c r="S329" s="195"/>
    </row>
    <row r="330" spans="2:19" outlineLevel="1" x14ac:dyDescent="0.3">
      <c r="B330" s="47"/>
      <c r="C330" s="12"/>
      <c r="D330" s="16">
        <f t="shared" si="32"/>
        <v>50</v>
      </c>
      <c r="E330" s="34">
        <f t="shared" si="33"/>
        <v>0.14000000000000001</v>
      </c>
      <c r="F330" s="11">
        <f t="shared" si="34"/>
        <v>118</v>
      </c>
      <c r="G330" s="116"/>
      <c r="H330" s="118"/>
      <c r="I330" s="118"/>
      <c r="J330" s="124">
        <f t="shared" si="35"/>
        <v>7.0000000000000009</v>
      </c>
      <c r="N330" s="190"/>
      <c r="O330" s="194"/>
      <c r="P330" s="190"/>
      <c r="Q330" s="194"/>
      <c r="R330" s="190"/>
      <c r="S330" s="195"/>
    </row>
    <row r="331" spans="2:19" outlineLevel="1" x14ac:dyDescent="0.3">
      <c r="B331" s="47"/>
      <c r="C331" s="12"/>
      <c r="D331" s="16">
        <f t="shared" si="32"/>
        <v>50</v>
      </c>
      <c r="E331" s="34">
        <f t="shared" si="33"/>
        <v>0.14000000000000001</v>
      </c>
      <c r="F331" s="11">
        <f t="shared" si="34"/>
        <v>119</v>
      </c>
      <c r="G331" s="116"/>
      <c r="H331" s="118"/>
      <c r="I331" s="118"/>
      <c r="J331" s="124">
        <f t="shared" si="35"/>
        <v>7.0000000000000009</v>
      </c>
      <c r="N331" s="190"/>
      <c r="O331" s="194"/>
      <c r="P331" s="190"/>
      <c r="Q331" s="194"/>
      <c r="R331" s="190"/>
      <c r="S331" s="195"/>
    </row>
    <row r="332" spans="2:19" outlineLevel="1" x14ac:dyDescent="0.3">
      <c r="B332" s="47"/>
      <c r="C332" s="12"/>
      <c r="D332" s="16">
        <f t="shared" si="32"/>
        <v>50</v>
      </c>
      <c r="E332" s="34">
        <f t="shared" si="33"/>
        <v>0.14000000000000001</v>
      </c>
      <c r="F332" s="11">
        <f t="shared" si="34"/>
        <v>120</v>
      </c>
      <c r="G332" s="116"/>
      <c r="H332" s="118"/>
      <c r="I332" s="118"/>
      <c r="J332" s="124">
        <f t="shared" si="35"/>
        <v>7.0000000000000009</v>
      </c>
      <c r="N332" s="190"/>
      <c r="O332" s="194"/>
      <c r="P332" s="190"/>
      <c r="Q332" s="194"/>
      <c r="R332" s="190"/>
      <c r="S332" s="195"/>
    </row>
    <row r="333" spans="2:19" s="19" customFormat="1" ht="10.8" thickBot="1" x14ac:dyDescent="0.35">
      <c r="B333" s="55"/>
      <c r="C333" s="140" t="s">
        <v>77</v>
      </c>
      <c r="D333" s="87"/>
      <c r="E333" s="53"/>
      <c r="F333" s="125"/>
      <c r="G333" s="126"/>
      <c r="H333" s="127"/>
      <c r="I333" s="127"/>
      <c r="J333" s="128">
        <f>SUM(J213:J332)</f>
        <v>842.75</v>
      </c>
      <c r="N333" s="190"/>
      <c r="O333" s="194"/>
      <c r="P333" s="190"/>
      <c r="Q333" s="194"/>
      <c r="R333" s="196"/>
      <c r="S333" s="195"/>
    </row>
    <row r="334" spans="2:19" ht="10.8" thickBot="1" x14ac:dyDescent="0.35">
      <c r="B334" s="70">
        <v>4</v>
      </c>
      <c r="C334" s="137" t="s">
        <v>34</v>
      </c>
      <c r="D334" s="90">
        <f t="shared" ref="D334" si="36">D139</f>
        <v>10000</v>
      </c>
      <c r="E334" s="72"/>
      <c r="F334" s="51" t="s">
        <v>78</v>
      </c>
      <c r="G334" s="52"/>
      <c r="H334" s="138"/>
      <c r="I334" s="138"/>
      <c r="J334" s="139">
        <f t="shared" si="18"/>
        <v>0</v>
      </c>
      <c r="N334" s="190"/>
      <c r="O334" s="194"/>
      <c r="P334" s="190"/>
      <c r="Q334" s="194"/>
      <c r="R334" s="190"/>
      <c r="S334" s="195"/>
    </row>
    <row r="335" spans="2:19" ht="10.8" thickBot="1" x14ac:dyDescent="0.35">
      <c r="B335" s="58">
        <v>5</v>
      </c>
      <c r="C335" s="62" t="s">
        <v>33</v>
      </c>
      <c r="D335" s="88">
        <f t="shared" ref="D335:E335" si="37">D140</f>
        <v>-15000</v>
      </c>
      <c r="E335" s="60">
        <f t="shared" si="37"/>
        <v>0.12</v>
      </c>
      <c r="F335" s="45">
        <v>2</v>
      </c>
      <c r="G335" s="46">
        <f t="shared" si="15"/>
        <v>0.13</v>
      </c>
      <c r="H335" s="93">
        <f t="shared" si="16"/>
        <v>-299.99999999999994</v>
      </c>
      <c r="I335" s="93">
        <f t="shared" si="17"/>
        <v>-1625</v>
      </c>
      <c r="J335" s="94">
        <f t="shared" si="18"/>
        <v>-1925</v>
      </c>
      <c r="N335" s="190"/>
      <c r="O335" s="194"/>
      <c r="P335" s="190"/>
      <c r="Q335" s="194"/>
      <c r="R335" s="190"/>
      <c r="S335" s="195"/>
    </row>
    <row r="336" spans="2:19" ht="21" thickBot="1" x14ac:dyDescent="0.35">
      <c r="B336" s="48">
        <v>6</v>
      </c>
      <c r="C336" s="49" t="s">
        <v>36</v>
      </c>
      <c r="D336" s="85">
        <f t="shared" ref="D336:E336" si="38">D141</f>
        <v>-5000</v>
      </c>
      <c r="E336" s="50">
        <f t="shared" si="38"/>
        <v>1E-4</v>
      </c>
      <c r="F336" s="63" t="s">
        <v>79</v>
      </c>
      <c r="G336" s="63"/>
      <c r="H336" s="95"/>
      <c r="I336" s="95"/>
      <c r="J336" s="96">
        <f>D336*E336</f>
        <v>-0.5</v>
      </c>
      <c r="N336" s="190"/>
      <c r="O336" s="194"/>
      <c r="P336" s="190"/>
      <c r="Q336" s="194"/>
      <c r="R336" s="190"/>
      <c r="S336" s="195"/>
    </row>
    <row r="337" spans="2:19" ht="10.8" thickBot="1" x14ac:dyDescent="0.35">
      <c r="B337" s="66">
        <v>7</v>
      </c>
      <c r="C337" s="67" t="s">
        <v>38</v>
      </c>
      <c r="D337" s="89">
        <f t="shared" ref="D337:E337" si="39">D142</f>
        <v>-6000</v>
      </c>
      <c r="E337" s="68">
        <f t="shared" si="39"/>
        <v>1E-4</v>
      </c>
      <c r="F337" s="69" t="s">
        <v>79</v>
      </c>
      <c r="G337" s="69"/>
      <c r="H337" s="97"/>
      <c r="I337" s="97"/>
      <c r="J337" s="98">
        <f>D337*E337</f>
        <v>-0.6</v>
      </c>
      <c r="N337" s="190"/>
      <c r="O337" s="194"/>
      <c r="P337" s="190"/>
      <c r="Q337" s="194"/>
      <c r="R337" s="190"/>
      <c r="S337" s="195"/>
    </row>
    <row r="338" spans="2:19" ht="10.8" thickBot="1" x14ac:dyDescent="0.35">
      <c r="B338" s="48">
        <v>8</v>
      </c>
      <c r="C338" s="75" t="s">
        <v>39</v>
      </c>
      <c r="D338" s="85">
        <f t="shared" ref="D338:E338" si="40">D143</f>
        <v>-5000</v>
      </c>
      <c r="E338" s="50">
        <f t="shared" si="40"/>
        <v>0.11</v>
      </c>
      <c r="F338" s="63" t="s">
        <v>76</v>
      </c>
      <c r="G338" s="63"/>
      <c r="H338" s="95"/>
      <c r="I338" s="95"/>
      <c r="J338" s="96">
        <f>D338*E338</f>
        <v>-550</v>
      </c>
      <c r="N338" s="190"/>
      <c r="O338" s="194"/>
      <c r="P338" s="190"/>
      <c r="Q338" s="194"/>
      <c r="R338" s="190"/>
      <c r="S338" s="195"/>
    </row>
    <row r="339" spans="2:19" ht="10.8" thickBot="1" x14ac:dyDescent="0.35">
      <c r="B339" s="70">
        <v>9</v>
      </c>
      <c r="C339" s="71" t="s">
        <v>42</v>
      </c>
      <c r="D339" s="90">
        <f t="shared" ref="D339" si="41">D144</f>
        <v>-5000</v>
      </c>
      <c r="E339" s="72"/>
      <c r="F339" s="73"/>
      <c r="G339" s="74"/>
      <c r="H339" s="99"/>
      <c r="I339" s="99"/>
      <c r="J339" s="100">
        <v>0</v>
      </c>
      <c r="N339" s="188"/>
      <c r="O339" s="189"/>
      <c r="P339" s="190"/>
      <c r="Q339" s="189"/>
      <c r="R339" s="190"/>
      <c r="S339" s="189"/>
    </row>
    <row r="340" spans="2:19" x14ac:dyDescent="0.3">
      <c r="C340" s="19" t="s">
        <v>125</v>
      </c>
      <c r="D340" s="19"/>
      <c r="E340" s="19"/>
      <c r="F340" s="19"/>
      <c r="G340" s="19"/>
      <c r="H340" s="101"/>
      <c r="I340" s="101"/>
      <c r="J340" s="101">
        <f>J151+J212+J333+SUM(J335:J339)</f>
        <v>1235.4589468376007</v>
      </c>
      <c r="N340" s="188"/>
      <c r="O340" s="189"/>
      <c r="P340" s="190"/>
      <c r="Q340" s="189"/>
      <c r="R340" s="190"/>
      <c r="S340" s="189"/>
    </row>
    <row r="341" spans="2:19" ht="10.8" thickBot="1" x14ac:dyDescent="0.35"/>
    <row r="342" spans="2:19" ht="13.8" thickBot="1" x14ac:dyDescent="0.35">
      <c r="B342" s="8" t="s">
        <v>82</v>
      </c>
      <c r="C342" s="158" t="s">
        <v>123</v>
      </c>
      <c r="D342" s="159">
        <f>J340-F145</f>
        <v>-32.441053162390745</v>
      </c>
    </row>
    <row r="343" spans="2:19" ht="13.8" thickBot="1" x14ac:dyDescent="0.35">
      <c r="C343" s="160"/>
      <c r="D343" s="161"/>
    </row>
    <row r="344" spans="2:19" ht="13.8" thickBot="1" x14ac:dyDescent="0.35">
      <c r="B344" s="8" t="s">
        <v>83</v>
      </c>
      <c r="C344" s="158" t="s">
        <v>123</v>
      </c>
      <c r="D344" s="159">
        <f>D128</f>
        <v>-31.577835412370874</v>
      </c>
    </row>
    <row r="346" spans="2:19" x14ac:dyDescent="0.3">
      <c r="C346" s="8" t="s">
        <v>84</v>
      </c>
      <c r="D346" s="41">
        <f>(D344-D342)/D342</f>
        <v>-2.6608807849080814E-2</v>
      </c>
      <c r="E346" s="8" t="s">
        <v>85</v>
      </c>
    </row>
  </sheetData>
  <hyperlinks>
    <hyperlink ref="N59" location="'annuity example'!A1" display="fixed rate, we pick tenor of repayments of principal" xr:uid="{4C5EEDDC-9D04-469C-93CB-90746B347B86}"/>
    <hyperlink ref="U145" r:id="rId1" display="https://www.bis.org/bcbs/publ/d368.pdf" xr:uid="{513BCE97-7588-415A-A7ED-D8544742D8D2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C3E2-544C-4FC6-8531-763E0BD79D0A}">
  <dimension ref="B2:W50"/>
  <sheetViews>
    <sheetView zoomScale="80" zoomScaleNormal="80" workbookViewId="0">
      <selection activeCell="I17" sqref="I17"/>
    </sheetView>
  </sheetViews>
  <sheetFormatPr defaultRowHeight="10.199999999999999" x14ac:dyDescent="0.2"/>
  <cols>
    <col min="1" max="2" width="8.88671875" style="1"/>
    <col min="3" max="3" width="13.109375" style="1" customWidth="1"/>
    <col min="4" max="21" width="10.21875" style="1" customWidth="1"/>
    <col min="22" max="16384" width="8.88671875" style="1"/>
  </cols>
  <sheetData>
    <row r="2" spans="2:6" x14ac:dyDescent="0.2">
      <c r="B2" s="77" t="s">
        <v>144</v>
      </c>
    </row>
    <row r="3" spans="2:6" x14ac:dyDescent="0.2">
      <c r="B3" s="1" t="s">
        <v>171</v>
      </c>
    </row>
    <row r="4" spans="2:6" x14ac:dyDescent="0.2">
      <c r="B4" s="1" t="s">
        <v>172</v>
      </c>
    </row>
    <row r="5" spans="2:6" x14ac:dyDescent="0.2">
      <c r="B5" s="1" t="s">
        <v>173</v>
      </c>
    </row>
    <row r="7" spans="2:6" ht="20.399999999999999" x14ac:dyDescent="0.2">
      <c r="C7" s="172" t="s">
        <v>211</v>
      </c>
      <c r="D7" s="2">
        <v>0.05</v>
      </c>
    </row>
    <row r="8" spans="2:6" ht="20.399999999999999" x14ac:dyDescent="0.2">
      <c r="C8" s="172" t="s">
        <v>212</v>
      </c>
      <c r="D8" s="2">
        <v>0.06</v>
      </c>
    </row>
    <row r="10" spans="2:6" x14ac:dyDescent="0.2">
      <c r="B10" s="19">
        <v>1</v>
      </c>
      <c r="C10" s="19" t="s">
        <v>12</v>
      </c>
      <c r="D10" s="8"/>
    </row>
    <row r="11" spans="2:6" x14ac:dyDescent="0.2">
      <c r="B11" s="8"/>
      <c r="C11" s="20">
        <v>1000</v>
      </c>
      <c r="D11" s="8" t="s">
        <v>81</v>
      </c>
      <c r="F11" s="171">
        <f>C11*C13</f>
        <v>100</v>
      </c>
    </row>
    <row r="12" spans="2:6" x14ac:dyDescent="0.2">
      <c r="B12" s="8"/>
      <c r="C12" s="20">
        <v>12</v>
      </c>
      <c r="D12" s="8" t="s">
        <v>142</v>
      </c>
    </row>
    <row r="13" spans="2:6" x14ac:dyDescent="0.2">
      <c r="B13" s="8"/>
      <c r="C13" s="17">
        <v>0.1</v>
      </c>
      <c r="D13" s="8" t="s">
        <v>15</v>
      </c>
    </row>
    <row r="14" spans="2:6" x14ac:dyDescent="0.2">
      <c r="B14" s="8"/>
      <c r="C14" s="8"/>
      <c r="D14" s="8"/>
    </row>
    <row r="15" spans="2:6" x14ac:dyDescent="0.2">
      <c r="B15" s="19">
        <v>2</v>
      </c>
      <c r="C15" s="21" t="s">
        <v>132</v>
      </c>
      <c r="D15" s="8"/>
    </row>
    <row r="16" spans="2:6" x14ac:dyDescent="0.2">
      <c r="B16" s="8"/>
      <c r="C16" s="20">
        <v>-1000</v>
      </c>
      <c r="D16" s="8" t="s">
        <v>81</v>
      </c>
      <c r="F16" s="171">
        <f>C16*C18</f>
        <v>-100</v>
      </c>
    </row>
    <row r="17" spans="2:23" x14ac:dyDescent="0.2">
      <c r="B17" s="8"/>
      <c r="C17" s="20">
        <v>12</v>
      </c>
      <c r="D17" s="8" t="s">
        <v>20</v>
      </c>
    </row>
    <row r="18" spans="2:23" x14ac:dyDescent="0.2">
      <c r="B18" s="8"/>
      <c r="C18" s="17">
        <v>0.1</v>
      </c>
      <c r="D18" s="8" t="s">
        <v>15</v>
      </c>
    </row>
    <row r="19" spans="2:23" x14ac:dyDescent="0.2">
      <c r="B19" s="8"/>
      <c r="C19" s="22"/>
      <c r="D19" s="8"/>
    </row>
    <row r="20" spans="2:23" x14ac:dyDescent="0.2">
      <c r="B20" s="8"/>
      <c r="C20" s="22" t="s">
        <v>134</v>
      </c>
      <c r="D20" s="208">
        <f>SUM(I27:J50,R27:S50)-(F11+F16)</f>
        <v>-1.2434497875801753E-14</v>
      </c>
    </row>
    <row r="21" spans="2:23" x14ac:dyDescent="0.2">
      <c r="B21" s="8"/>
      <c r="C21" s="22" t="s">
        <v>143</v>
      </c>
      <c r="D21" s="208">
        <f>SUM(W27:W50)</f>
        <v>0</v>
      </c>
    </row>
    <row r="23" spans="2:23" ht="10.8" thickBot="1" x14ac:dyDescent="0.25"/>
    <row r="24" spans="2:23" s="172" customFormat="1" x14ac:dyDescent="0.2">
      <c r="D24" s="232" t="s">
        <v>131</v>
      </c>
      <c r="E24" s="233"/>
      <c r="F24" s="233"/>
      <c r="G24" s="233"/>
      <c r="H24" s="233"/>
      <c r="I24" s="233"/>
      <c r="J24" s="233"/>
      <c r="K24" s="233"/>
      <c r="L24" s="233"/>
      <c r="M24" s="234" t="s">
        <v>132</v>
      </c>
      <c r="N24" s="235"/>
      <c r="O24" s="235"/>
      <c r="P24" s="235"/>
      <c r="Q24" s="235"/>
      <c r="R24" s="235"/>
      <c r="S24" s="235"/>
      <c r="T24" s="235"/>
      <c r="U24" s="236"/>
    </row>
    <row r="25" spans="2:23" s="29" customFormat="1" ht="40.799999999999997" x14ac:dyDescent="0.3">
      <c r="C25" s="7" t="s">
        <v>133</v>
      </c>
      <c r="D25" s="173" t="s">
        <v>45</v>
      </c>
      <c r="E25" s="174" t="s">
        <v>141</v>
      </c>
      <c r="F25" s="174" t="s">
        <v>130</v>
      </c>
      <c r="G25" s="174" t="s">
        <v>135</v>
      </c>
      <c r="H25" s="174" t="s">
        <v>136</v>
      </c>
      <c r="I25" s="174" t="s">
        <v>139</v>
      </c>
      <c r="J25" s="174" t="s">
        <v>140</v>
      </c>
      <c r="K25" s="174" t="s">
        <v>137</v>
      </c>
      <c r="L25" s="174" t="s">
        <v>138</v>
      </c>
      <c r="M25" s="219" t="s">
        <v>45</v>
      </c>
      <c r="N25" s="174" t="s">
        <v>141</v>
      </c>
      <c r="O25" s="174" t="s">
        <v>130</v>
      </c>
      <c r="P25" s="174" t="s">
        <v>135</v>
      </c>
      <c r="Q25" s="174" t="s">
        <v>136</v>
      </c>
      <c r="R25" s="174" t="s">
        <v>139</v>
      </c>
      <c r="S25" s="174" t="s">
        <v>140</v>
      </c>
      <c r="T25" s="174" t="s">
        <v>137</v>
      </c>
      <c r="U25" s="220" t="s">
        <v>138</v>
      </c>
      <c r="W25" s="29" t="s">
        <v>128</v>
      </c>
    </row>
    <row r="26" spans="2:23" x14ac:dyDescent="0.2">
      <c r="D26" s="175"/>
      <c r="E26" s="149"/>
      <c r="F26" s="149"/>
      <c r="G26" s="149"/>
      <c r="H26" s="149"/>
      <c r="I26" s="149"/>
      <c r="J26" s="149"/>
      <c r="K26" s="149"/>
      <c r="L26" s="149"/>
      <c r="M26" s="221"/>
      <c r="N26" s="149"/>
      <c r="O26" s="149"/>
      <c r="P26" s="149"/>
      <c r="Q26" s="149"/>
      <c r="R26" s="149"/>
      <c r="S26" s="149"/>
      <c r="T26" s="149"/>
      <c r="U26" s="222"/>
    </row>
    <row r="27" spans="2:23" x14ac:dyDescent="0.2">
      <c r="C27" s="1">
        <v>1</v>
      </c>
      <c r="D27" s="176">
        <f>IF(C27&gt;$C$12,0,$C$11/$C$12)</f>
        <v>83.333333333333329</v>
      </c>
      <c r="E27" s="177">
        <f>($C$11-SUM($D$26:D26))*G27/12</f>
        <v>8.3333333333333339</v>
      </c>
      <c r="F27" s="177">
        <f>D27+E27</f>
        <v>91.666666666666657</v>
      </c>
      <c r="G27" s="178">
        <f>$C$13</f>
        <v>0.1</v>
      </c>
      <c r="H27" s="178">
        <f>G27+1%</f>
        <v>0.11</v>
      </c>
      <c r="I27" s="183">
        <f>D27*G27*$C27/12</f>
        <v>0.69444444444444453</v>
      </c>
      <c r="J27" s="184">
        <f>D27*H27*(12-$C27)/12</f>
        <v>8.4027777777777768</v>
      </c>
      <c r="K27" s="179">
        <f>F27*EXP(-C27/12*$D$7)</f>
        <v>91.285516835801744</v>
      </c>
      <c r="L27" s="179">
        <f>F27*EXP(-C27/12*$D$8)</f>
        <v>91.209477259329205</v>
      </c>
      <c r="M27" s="223">
        <f>IF(C27&gt;$C$17,0,$C$16/$C$17)</f>
        <v>-83.333333333333329</v>
      </c>
      <c r="N27" s="177">
        <f>($C$16-SUM($M$26:M26))*P27/12</f>
        <v>-8.3333333333333339</v>
      </c>
      <c r="O27" s="177">
        <f>M27+N27</f>
        <v>-91.666666666666657</v>
      </c>
      <c r="P27" s="178">
        <f>$C$18</f>
        <v>0.1</v>
      </c>
      <c r="Q27" s="178">
        <f>P27+1%</f>
        <v>0.11</v>
      </c>
      <c r="R27" s="183">
        <f>M27*P27*$C27/12</f>
        <v>-0.69444444444444453</v>
      </c>
      <c r="S27" s="184">
        <f>M27*Q27*(12-$C27)/12</f>
        <v>-8.4027777777777768</v>
      </c>
      <c r="T27" s="179">
        <f>O27*EXP(-C27/12*$D$7)</f>
        <v>-91.285516835801744</v>
      </c>
      <c r="U27" s="224">
        <f>O27*EXP(-C27/12*$D$8)</f>
        <v>-91.209477259329205</v>
      </c>
      <c r="W27" s="182">
        <f>(L27+U27)-(K27+T27)</f>
        <v>0</v>
      </c>
    </row>
    <row r="28" spans="2:23" x14ac:dyDescent="0.2">
      <c r="C28" s="1">
        <v>2</v>
      </c>
      <c r="D28" s="176">
        <f t="shared" ref="D28:D50" si="0">IF(C28&gt;$C$12,0,$C$11/$C$12)</f>
        <v>83.333333333333329</v>
      </c>
      <c r="E28" s="177">
        <f>($C$11-SUM($D$26:D27))*G28/12</f>
        <v>7.6388888888888893</v>
      </c>
      <c r="F28" s="177">
        <f t="shared" ref="F28:F50" si="1">D28+E28</f>
        <v>90.972222222222214</v>
      </c>
      <c r="G28" s="178">
        <f t="shared" ref="G28:G50" si="2">$C$13</f>
        <v>0.1</v>
      </c>
      <c r="H28" s="178">
        <f t="shared" ref="H28:H50" si="3">G28+1%</f>
        <v>0.11</v>
      </c>
      <c r="I28" s="183">
        <f t="shared" ref="I28:I38" si="4">D28*G28*$C28/12</f>
        <v>1.3888888888888891</v>
      </c>
      <c r="J28" s="184">
        <f t="shared" ref="J28:J38" si="5">D28*H28*(12-$C28)/12</f>
        <v>7.6388888888888884</v>
      </c>
      <c r="K28" s="179">
        <f t="shared" ref="K28:K50" si="6">F28*EXP(-C28/12*$D$7)</f>
        <v>90.217270372008841</v>
      </c>
      <c r="L28" s="179">
        <f t="shared" ref="L28:L50" si="7">F28*EXP(-C28/12*$D$8)</f>
        <v>90.067033486903483</v>
      </c>
      <c r="M28" s="223">
        <f t="shared" ref="M28:M50" si="8">IF(C28&gt;$C$17,0,$C$16/$C$17)</f>
        <v>-83.333333333333329</v>
      </c>
      <c r="N28" s="177">
        <f>($C$16-SUM($M$26:M27))*P28/12</f>
        <v>-7.6388888888888893</v>
      </c>
      <c r="O28" s="177">
        <f t="shared" ref="O28:O50" si="9">M28+N28</f>
        <v>-90.972222222222214</v>
      </c>
      <c r="P28" s="178">
        <f>$C$18</f>
        <v>0.1</v>
      </c>
      <c r="Q28" s="178">
        <f>P28+1%</f>
        <v>0.11</v>
      </c>
      <c r="R28" s="183">
        <f t="shared" ref="R28:R38" si="10">M28*P28*$C28/12</f>
        <v>-1.3888888888888891</v>
      </c>
      <c r="S28" s="184">
        <f t="shared" ref="S28:S38" si="11">M28*Q28*(12-$C28)/12</f>
        <v>-7.6388888888888884</v>
      </c>
      <c r="T28" s="179">
        <f t="shared" ref="T28:T50" si="12">O28*EXP(-C28/12*$D$7)</f>
        <v>-90.217270372008841</v>
      </c>
      <c r="U28" s="224">
        <f t="shared" ref="U28:U50" si="13">O28*EXP(-C28/12*$D$8)</f>
        <v>-90.067033486903483</v>
      </c>
      <c r="W28" s="182">
        <f t="shared" ref="W28:W50" si="14">(L28+U28)-(K28+T28)</f>
        <v>0</v>
      </c>
    </row>
    <row r="29" spans="2:23" x14ac:dyDescent="0.2">
      <c r="C29" s="1">
        <f>C28+1</f>
        <v>3</v>
      </c>
      <c r="D29" s="176">
        <f t="shared" si="0"/>
        <v>83.333333333333329</v>
      </c>
      <c r="E29" s="177">
        <f>($C$11-SUM($D$26:D28))*G29/12</f>
        <v>6.9444444444444455</v>
      </c>
      <c r="F29" s="177">
        <f t="shared" si="1"/>
        <v>90.277777777777771</v>
      </c>
      <c r="G29" s="178">
        <f t="shared" si="2"/>
        <v>0.1</v>
      </c>
      <c r="H29" s="178">
        <f t="shared" si="3"/>
        <v>0.11</v>
      </c>
      <c r="I29" s="183">
        <f t="shared" si="4"/>
        <v>2.0833333333333335</v>
      </c>
      <c r="J29" s="184">
        <f t="shared" si="5"/>
        <v>6.875</v>
      </c>
      <c r="K29" s="179">
        <f t="shared" si="6"/>
        <v>89.15632921125318</v>
      </c>
      <c r="L29" s="179">
        <f t="shared" si="7"/>
        <v>88.933716769720931</v>
      </c>
      <c r="M29" s="223">
        <f t="shared" si="8"/>
        <v>-83.333333333333329</v>
      </c>
      <c r="N29" s="177">
        <f>($C$16-SUM($M$26:M28))*P29/12</f>
        <v>-6.9444444444444455</v>
      </c>
      <c r="O29" s="177">
        <f t="shared" si="9"/>
        <v>-90.277777777777771</v>
      </c>
      <c r="P29" s="178">
        <f t="shared" ref="P29:P50" si="15">$C$18</f>
        <v>0.1</v>
      </c>
      <c r="Q29" s="178">
        <f t="shared" ref="Q29:Q50" si="16">P29+1%</f>
        <v>0.11</v>
      </c>
      <c r="R29" s="183">
        <f t="shared" si="10"/>
        <v>-2.0833333333333335</v>
      </c>
      <c r="S29" s="184">
        <f t="shared" si="11"/>
        <v>-6.875</v>
      </c>
      <c r="T29" s="179">
        <f t="shared" si="12"/>
        <v>-89.15632921125318</v>
      </c>
      <c r="U29" s="224">
        <f t="shared" si="13"/>
        <v>-88.933716769720931</v>
      </c>
      <c r="W29" s="182">
        <f t="shared" si="14"/>
        <v>0</v>
      </c>
    </row>
    <row r="30" spans="2:23" x14ac:dyDescent="0.2">
      <c r="C30" s="1">
        <f t="shared" ref="C30:C50" si="17">C29+1</f>
        <v>4</v>
      </c>
      <c r="D30" s="176">
        <f t="shared" si="0"/>
        <v>83.333333333333329</v>
      </c>
      <c r="E30" s="177">
        <f>($C$11-SUM($D$26:D29))*G30/12</f>
        <v>6.25</v>
      </c>
      <c r="F30" s="177">
        <f t="shared" si="1"/>
        <v>89.583333333333329</v>
      </c>
      <c r="G30" s="178">
        <f t="shared" si="2"/>
        <v>0.1</v>
      </c>
      <c r="H30" s="178">
        <f t="shared" si="3"/>
        <v>0.11</v>
      </c>
      <c r="I30" s="183">
        <f t="shared" si="4"/>
        <v>2.7777777777777781</v>
      </c>
      <c r="J30" s="184">
        <f t="shared" si="5"/>
        <v>6.1111111111111107</v>
      </c>
      <c r="K30" s="179">
        <f t="shared" si="6"/>
        <v>88.102651071519901</v>
      </c>
      <c r="L30" s="179">
        <f t="shared" si="7"/>
        <v>87.809464483730153</v>
      </c>
      <c r="M30" s="223">
        <f t="shared" si="8"/>
        <v>-83.333333333333329</v>
      </c>
      <c r="N30" s="177">
        <f>($C$16-SUM($M$26:M29))*P30/12</f>
        <v>-6.25</v>
      </c>
      <c r="O30" s="177">
        <f t="shared" si="9"/>
        <v>-89.583333333333329</v>
      </c>
      <c r="P30" s="178">
        <f t="shared" si="15"/>
        <v>0.1</v>
      </c>
      <c r="Q30" s="178">
        <f t="shared" si="16"/>
        <v>0.11</v>
      </c>
      <c r="R30" s="183">
        <f t="shared" si="10"/>
        <v>-2.7777777777777781</v>
      </c>
      <c r="S30" s="184">
        <f t="shared" si="11"/>
        <v>-6.1111111111111107</v>
      </c>
      <c r="T30" s="179">
        <f t="shared" si="12"/>
        <v>-88.102651071519901</v>
      </c>
      <c r="U30" s="224">
        <f t="shared" si="13"/>
        <v>-87.809464483730153</v>
      </c>
      <c r="W30" s="182">
        <f t="shared" si="14"/>
        <v>0</v>
      </c>
    </row>
    <row r="31" spans="2:23" x14ac:dyDescent="0.2">
      <c r="C31" s="1">
        <f t="shared" si="17"/>
        <v>5</v>
      </c>
      <c r="D31" s="176">
        <f t="shared" si="0"/>
        <v>83.333333333333329</v>
      </c>
      <c r="E31" s="177">
        <f>($C$11-SUM($D$26:D30))*G31/12</f>
        <v>5.5555555555555562</v>
      </c>
      <c r="F31" s="177">
        <f t="shared" si="1"/>
        <v>88.888888888888886</v>
      </c>
      <c r="G31" s="178">
        <f t="shared" si="2"/>
        <v>0.1</v>
      </c>
      <c r="H31" s="178">
        <f t="shared" si="3"/>
        <v>0.11</v>
      </c>
      <c r="I31" s="183">
        <f t="shared" si="4"/>
        <v>3.4722222222222228</v>
      </c>
      <c r="J31" s="184">
        <f t="shared" si="5"/>
        <v>5.3472222222222214</v>
      </c>
      <c r="K31" s="179">
        <f t="shared" si="6"/>
        <v>87.05619389611023</v>
      </c>
      <c r="L31" s="179">
        <f t="shared" si="7"/>
        <v>86.694214402518455</v>
      </c>
      <c r="M31" s="223">
        <f t="shared" si="8"/>
        <v>-83.333333333333329</v>
      </c>
      <c r="N31" s="177">
        <f>($C$16-SUM($M$26:M30))*P31/12</f>
        <v>-5.5555555555555562</v>
      </c>
      <c r="O31" s="177">
        <f t="shared" si="9"/>
        <v>-88.888888888888886</v>
      </c>
      <c r="P31" s="178">
        <f t="shared" si="15"/>
        <v>0.1</v>
      </c>
      <c r="Q31" s="178">
        <f t="shared" si="16"/>
        <v>0.11</v>
      </c>
      <c r="R31" s="183">
        <f t="shared" si="10"/>
        <v>-3.4722222222222228</v>
      </c>
      <c r="S31" s="184">
        <f t="shared" si="11"/>
        <v>-5.3472222222222214</v>
      </c>
      <c r="T31" s="179">
        <f t="shared" si="12"/>
        <v>-87.05619389611023</v>
      </c>
      <c r="U31" s="224">
        <f t="shared" si="13"/>
        <v>-86.694214402518455</v>
      </c>
      <c r="W31" s="182">
        <f t="shared" si="14"/>
        <v>0</v>
      </c>
    </row>
    <row r="32" spans="2:23" x14ac:dyDescent="0.2">
      <c r="C32" s="1">
        <f t="shared" si="17"/>
        <v>6</v>
      </c>
      <c r="D32" s="176">
        <f t="shared" si="0"/>
        <v>83.333333333333329</v>
      </c>
      <c r="E32" s="177">
        <f>($C$11-SUM($D$26:D31))*G32/12</f>
        <v>4.8611111111111116</v>
      </c>
      <c r="F32" s="177">
        <f t="shared" si="1"/>
        <v>88.194444444444443</v>
      </c>
      <c r="G32" s="178">
        <f t="shared" si="2"/>
        <v>0.1</v>
      </c>
      <c r="H32" s="178">
        <f t="shared" si="3"/>
        <v>0.11</v>
      </c>
      <c r="I32" s="183">
        <f t="shared" si="4"/>
        <v>4.166666666666667</v>
      </c>
      <c r="J32" s="184">
        <f t="shared" si="5"/>
        <v>4.583333333333333</v>
      </c>
      <c r="K32" s="179">
        <f t="shared" si="6"/>
        <v>86.016915852498784</v>
      </c>
      <c r="L32" s="179">
        <f t="shared" si="7"/>
        <v>85.587904694903145</v>
      </c>
      <c r="M32" s="223">
        <f t="shared" si="8"/>
        <v>-83.333333333333329</v>
      </c>
      <c r="N32" s="177">
        <f>($C$16-SUM($M$26:M31))*P32/12</f>
        <v>-4.8611111111111116</v>
      </c>
      <c r="O32" s="177">
        <f t="shared" si="9"/>
        <v>-88.194444444444443</v>
      </c>
      <c r="P32" s="178">
        <f t="shared" si="15"/>
        <v>0.1</v>
      </c>
      <c r="Q32" s="178">
        <f t="shared" si="16"/>
        <v>0.11</v>
      </c>
      <c r="R32" s="183">
        <f t="shared" si="10"/>
        <v>-4.166666666666667</v>
      </c>
      <c r="S32" s="184">
        <f t="shared" si="11"/>
        <v>-4.583333333333333</v>
      </c>
      <c r="T32" s="179">
        <f t="shared" si="12"/>
        <v>-86.016915852498784</v>
      </c>
      <c r="U32" s="224">
        <f t="shared" si="13"/>
        <v>-85.587904694903145</v>
      </c>
      <c r="W32" s="182">
        <f t="shared" si="14"/>
        <v>0</v>
      </c>
    </row>
    <row r="33" spans="3:23" x14ac:dyDescent="0.2">
      <c r="C33" s="1">
        <f t="shared" si="17"/>
        <v>7</v>
      </c>
      <c r="D33" s="176">
        <f t="shared" si="0"/>
        <v>83.333333333333329</v>
      </c>
      <c r="E33" s="177">
        <f>($C$11-SUM($D$26:D32))*G33/12</f>
        <v>4.166666666666667</v>
      </c>
      <c r="F33" s="177">
        <f t="shared" si="1"/>
        <v>87.5</v>
      </c>
      <c r="G33" s="178">
        <f t="shared" si="2"/>
        <v>0.1</v>
      </c>
      <c r="H33" s="178">
        <f t="shared" si="3"/>
        <v>0.11</v>
      </c>
      <c r="I33" s="183">
        <f t="shared" si="4"/>
        <v>4.8611111111111116</v>
      </c>
      <c r="J33" s="184">
        <f t="shared" si="5"/>
        <v>3.8194444444444442</v>
      </c>
      <c r="K33" s="179">
        <f t="shared" si="6"/>
        <v>84.984775331196374</v>
      </c>
      <c r="L33" s="179">
        <f t="shared" si="7"/>
        <v>84.490473922537063</v>
      </c>
      <c r="M33" s="223">
        <f t="shared" si="8"/>
        <v>-83.333333333333329</v>
      </c>
      <c r="N33" s="177">
        <f>($C$16-SUM($M$26:M32))*P33/12</f>
        <v>-4.166666666666667</v>
      </c>
      <c r="O33" s="177">
        <f t="shared" si="9"/>
        <v>-87.5</v>
      </c>
      <c r="P33" s="178">
        <f t="shared" si="15"/>
        <v>0.1</v>
      </c>
      <c r="Q33" s="178">
        <f t="shared" si="16"/>
        <v>0.11</v>
      </c>
      <c r="R33" s="183">
        <f t="shared" si="10"/>
        <v>-4.8611111111111116</v>
      </c>
      <c r="S33" s="184">
        <f t="shared" si="11"/>
        <v>-3.8194444444444442</v>
      </c>
      <c r="T33" s="179">
        <f t="shared" si="12"/>
        <v>-84.984775331196374</v>
      </c>
      <c r="U33" s="224">
        <f t="shared" si="13"/>
        <v>-84.490473922537063</v>
      </c>
      <c r="W33" s="182">
        <f t="shared" si="14"/>
        <v>0</v>
      </c>
    </row>
    <row r="34" spans="3:23" x14ac:dyDescent="0.2">
      <c r="C34" s="1">
        <f t="shared" si="17"/>
        <v>8</v>
      </c>
      <c r="D34" s="176">
        <f t="shared" si="0"/>
        <v>83.333333333333329</v>
      </c>
      <c r="E34" s="177">
        <f>($C$11-SUM($D$26:D33))*G34/12</f>
        <v>3.4722222222222232</v>
      </c>
      <c r="F34" s="177">
        <f t="shared" si="1"/>
        <v>86.805555555555557</v>
      </c>
      <c r="G34" s="178">
        <f t="shared" si="2"/>
        <v>0.1</v>
      </c>
      <c r="H34" s="178">
        <f t="shared" si="3"/>
        <v>0.11</v>
      </c>
      <c r="I34" s="183">
        <f t="shared" si="4"/>
        <v>5.5555555555555562</v>
      </c>
      <c r="J34" s="184">
        <f t="shared" si="5"/>
        <v>3.0555555555555554</v>
      </c>
      <c r="K34" s="179">
        <f t="shared" si="6"/>
        <v>83.95973094461857</v>
      </c>
      <c r="L34" s="179">
        <f t="shared" si="7"/>
        <v>83.40186103752805</v>
      </c>
      <c r="M34" s="223">
        <f t="shared" si="8"/>
        <v>-83.333333333333329</v>
      </c>
      <c r="N34" s="177">
        <f>($C$16-SUM($M$26:M33))*P34/12</f>
        <v>-3.4722222222222232</v>
      </c>
      <c r="O34" s="177">
        <f t="shared" si="9"/>
        <v>-86.805555555555557</v>
      </c>
      <c r="P34" s="178">
        <f t="shared" si="15"/>
        <v>0.1</v>
      </c>
      <c r="Q34" s="178">
        <f t="shared" si="16"/>
        <v>0.11</v>
      </c>
      <c r="R34" s="183">
        <f t="shared" si="10"/>
        <v>-5.5555555555555562</v>
      </c>
      <c r="S34" s="184">
        <f t="shared" si="11"/>
        <v>-3.0555555555555554</v>
      </c>
      <c r="T34" s="179">
        <f t="shared" si="12"/>
        <v>-83.95973094461857</v>
      </c>
      <c r="U34" s="224">
        <f t="shared" si="13"/>
        <v>-83.40186103752805</v>
      </c>
      <c r="W34" s="182">
        <f t="shared" si="14"/>
        <v>0</v>
      </c>
    </row>
    <row r="35" spans="3:23" x14ac:dyDescent="0.2">
      <c r="C35" s="1">
        <f t="shared" si="17"/>
        <v>9</v>
      </c>
      <c r="D35" s="176">
        <f t="shared" si="0"/>
        <v>83.333333333333329</v>
      </c>
      <c r="E35" s="177">
        <f>($C$11-SUM($D$26:D34))*G35/12</f>
        <v>2.7777777777777781</v>
      </c>
      <c r="F35" s="177">
        <f t="shared" si="1"/>
        <v>86.1111111111111</v>
      </c>
      <c r="G35" s="178">
        <f t="shared" si="2"/>
        <v>0.1</v>
      </c>
      <c r="H35" s="178">
        <f t="shared" si="3"/>
        <v>0.11</v>
      </c>
      <c r="I35" s="183">
        <f t="shared" si="4"/>
        <v>6.25</v>
      </c>
      <c r="J35" s="184">
        <f t="shared" si="5"/>
        <v>2.2916666666666665</v>
      </c>
      <c r="K35" s="179">
        <f t="shared" si="6"/>
        <v>82.941741525959642</v>
      </c>
      <c r="L35" s="179">
        <f t="shared" si="7"/>
        <v>82.322005380072483</v>
      </c>
      <c r="M35" s="223">
        <f t="shared" si="8"/>
        <v>-83.333333333333329</v>
      </c>
      <c r="N35" s="177">
        <f>($C$16-SUM($M$26:M34))*P35/12</f>
        <v>-2.7777777777777781</v>
      </c>
      <c r="O35" s="177">
        <f t="shared" si="9"/>
        <v>-86.1111111111111</v>
      </c>
      <c r="P35" s="178">
        <f t="shared" si="15"/>
        <v>0.1</v>
      </c>
      <c r="Q35" s="178">
        <f t="shared" si="16"/>
        <v>0.11</v>
      </c>
      <c r="R35" s="183">
        <f t="shared" si="10"/>
        <v>-6.25</v>
      </c>
      <c r="S35" s="184">
        <f t="shared" si="11"/>
        <v>-2.2916666666666665</v>
      </c>
      <c r="T35" s="179">
        <f t="shared" si="12"/>
        <v>-82.941741525959642</v>
      </c>
      <c r="U35" s="224">
        <f t="shared" si="13"/>
        <v>-82.322005380072483</v>
      </c>
      <c r="W35" s="182">
        <f t="shared" si="14"/>
        <v>0</v>
      </c>
    </row>
    <row r="36" spans="3:23" x14ac:dyDescent="0.2">
      <c r="C36" s="1">
        <f t="shared" si="17"/>
        <v>10</v>
      </c>
      <c r="D36" s="176">
        <f t="shared" si="0"/>
        <v>83.333333333333329</v>
      </c>
      <c r="E36" s="177">
        <f>($C$11-SUM($D$26:D35))*G36/12</f>
        <v>2.0833333333333335</v>
      </c>
      <c r="F36" s="177">
        <f t="shared" si="1"/>
        <v>85.416666666666657</v>
      </c>
      <c r="G36" s="178">
        <f t="shared" si="2"/>
        <v>0.1</v>
      </c>
      <c r="H36" s="178">
        <f t="shared" si="3"/>
        <v>0.11</v>
      </c>
      <c r="I36" s="183">
        <f t="shared" si="4"/>
        <v>6.9444444444444455</v>
      </c>
      <c r="J36" s="184">
        <f t="shared" si="5"/>
        <v>1.5277777777777777</v>
      </c>
      <c r="K36" s="179">
        <f t="shared" si="6"/>
        <v>81.930766128072207</v>
      </c>
      <c r="L36" s="179">
        <f t="shared" si="7"/>
        <v>81.25084667610264</v>
      </c>
      <c r="M36" s="223">
        <f t="shared" si="8"/>
        <v>-83.333333333333329</v>
      </c>
      <c r="N36" s="177">
        <f>($C$16-SUM($M$26:M35))*P36/12</f>
        <v>-2.0833333333333335</v>
      </c>
      <c r="O36" s="177">
        <f t="shared" si="9"/>
        <v>-85.416666666666657</v>
      </c>
      <c r="P36" s="178">
        <f t="shared" si="15"/>
        <v>0.1</v>
      </c>
      <c r="Q36" s="178">
        <f t="shared" si="16"/>
        <v>0.11</v>
      </c>
      <c r="R36" s="183">
        <f t="shared" si="10"/>
        <v>-6.9444444444444455</v>
      </c>
      <c r="S36" s="184">
        <f t="shared" si="11"/>
        <v>-1.5277777777777777</v>
      </c>
      <c r="T36" s="179">
        <f t="shared" si="12"/>
        <v>-81.930766128072207</v>
      </c>
      <c r="U36" s="224">
        <f t="shared" si="13"/>
        <v>-81.25084667610264</v>
      </c>
      <c r="W36" s="182">
        <f t="shared" si="14"/>
        <v>0</v>
      </c>
    </row>
    <row r="37" spans="3:23" x14ac:dyDescent="0.2">
      <c r="C37" s="1">
        <f t="shared" si="17"/>
        <v>11</v>
      </c>
      <c r="D37" s="176">
        <f t="shared" si="0"/>
        <v>83.333333333333329</v>
      </c>
      <c r="E37" s="177">
        <f>($C$11-SUM($D$26:D36))*G37/12</f>
        <v>1.3888888888888886</v>
      </c>
      <c r="F37" s="177">
        <f t="shared" si="1"/>
        <v>84.722222222222214</v>
      </c>
      <c r="G37" s="178">
        <f t="shared" si="2"/>
        <v>0.1</v>
      </c>
      <c r="H37" s="178">
        <f t="shared" si="3"/>
        <v>0.11</v>
      </c>
      <c r="I37" s="183">
        <f t="shared" si="4"/>
        <v>7.6388888888888893</v>
      </c>
      <c r="J37" s="184">
        <f t="shared" si="5"/>
        <v>0.76388888888888884</v>
      </c>
      <c r="K37" s="179">
        <f t="shared" si="6"/>
        <v>80.926764022352202</v>
      </c>
      <c r="L37" s="179">
        <f t="shared" si="7"/>
        <v>80.188325034947937</v>
      </c>
      <c r="M37" s="223">
        <f t="shared" si="8"/>
        <v>-83.333333333333329</v>
      </c>
      <c r="N37" s="177">
        <f>($C$16-SUM($M$26:M36))*P37/12</f>
        <v>-1.3888888888888886</v>
      </c>
      <c r="O37" s="177">
        <f t="shared" si="9"/>
        <v>-84.722222222222214</v>
      </c>
      <c r="P37" s="178">
        <f t="shared" si="15"/>
        <v>0.1</v>
      </c>
      <c r="Q37" s="178">
        <f t="shared" si="16"/>
        <v>0.11</v>
      </c>
      <c r="R37" s="183">
        <f t="shared" si="10"/>
        <v>-7.6388888888888893</v>
      </c>
      <c r="S37" s="184">
        <f t="shared" si="11"/>
        <v>-0.76388888888888884</v>
      </c>
      <c r="T37" s="179">
        <f t="shared" si="12"/>
        <v>-80.926764022352202</v>
      </c>
      <c r="U37" s="224">
        <f t="shared" si="13"/>
        <v>-80.188325034947937</v>
      </c>
      <c r="W37" s="182">
        <f t="shared" si="14"/>
        <v>0</v>
      </c>
    </row>
    <row r="38" spans="3:23" x14ac:dyDescent="0.2">
      <c r="C38" s="1">
        <f t="shared" si="17"/>
        <v>12</v>
      </c>
      <c r="D38" s="176">
        <f t="shared" si="0"/>
        <v>83.333333333333329</v>
      </c>
      <c r="E38" s="177">
        <f>($C$11-SUM($D$26:D37))*G38/12</f>
        <v>0.69444444444444386</v>
      </c>
      <c r="F38" s="177">
        <f t="shared" si="1"/>
        <v>84.027777777777771</v>
      </c>
      <c r="G38" s="178">
        <f t="shared" si="2"/>
        <v>0.1</v>
      </c>
      <c r="H38" s="178">
        <f t="shared" si="3"/>
        <v>0.11</v>
      </c>
      <c r="I38" s="183">
        <f t="shared" si="4"/>
        <v>8.3333333333333339</v>
      </c>
      <c r="J38" s="184">
        <f t="shared" si="5"/>
        <v>0</v>
      </c>
      <c r="K38" s="179">
        <f t="shared" si="6"/>
        <v>79.929694697629429</v>
      </c>
      <c r="L38" s="179">
        <f t="shared" si="7"/>
        <v>79.134380947009788</v>
      </c>
      <c r="M38" s="223">
        <f t="shared" si="8"/>
        <v>-83.333333333333329</v>
      </c>
      <c r="N38" s="177">
        <f>($C$16-SUM($M$26:M37))*P38/12</f>
        <v>-0.69444444444444386</v>
      </c>
      <c r="O38" s="177">
        <f t="shared" si="9"/>
        <v>-84.027777777777771</v>
      </c>
      <c r="P38" s="178">
        <f t="shared" si="15"/>
        <v>0.1</v>
      </c>
      <c r="Q38" s="178">
        <f t="shared" si="16"/>
        <v>0.11</v>
      </c>
      <c r="R38" s="183">
        <f t="shared" si="10"/>
        <v>-8.3333333333333339</v>
      </c>
      <c r="S38" s="184">
        <f t="shared" si="11"/>
        <v>0</v>
      </c>
      <c r="T38" s="179">
        <f t="shared" si="12"/>
        <v>-79.929694697629429</v>
      </c>
      <c r="U38" s="224">
        <f t="shared" si="13"/>
        <v>-79.134380947009788</v>
      </c>
      <c r="W38" s="182">
        <f t="shared" si="14"/>
        <v>0</v>
      </c>
    </row>
    <row r="39" spans="3:23" x14ac:dyDescent="0.2">
      <c r="C39" s="1">
        <f t="shared" si="17"/>
        <v>13</v>
      </c>
      <c r="D39" s="176">
        <f t="shared" si="0"/>
        <v>0</v>
      </c>
      <c r="E39" s="177">
        <f>($C$11-SUM($D$26:D38))*G39/12</f>
        <v>-9.4739031434680023E-16</v>
      </c>
      <c r="F39" s="177">
        <f t="shared" si="1"/>
        <v>-9.4739031434680023E-16</v>
      </c>
      <c r="G39" s="178">
        <f t="shared" si="2"/>
        <v>0.1</v>
      </c>
      <c r="H39" s="178">
        <f t="shared" si="3"/>
        <v>0.11</v>
      </c>
      <c r="I39" s="185">
        <f>D39*G39</f>
        <v>0</v>
      </c>
      <c r="J39" s="178"/>
      <c r="K39" s="179">
        <f t="shared" si="6"/>
        <v>-8.9743841566659706E-16</v>
      </c>
      <c r="L39" s="179">
        <f t="shared" si="7"/>
        <v>-8.8776863869327693E-16</v>
      </c>
      <c r="M39" s="225">
        <f t="shared" si="8"/>
        <v>0</v>
      </c>
      <c r="N39" s="187">
        <f>($C$16-SUM($M$26:M38))*P39/12</f>
        <v>9.4739031434680023E-16</v>
      </c>
      <c r="O39" s="187">
        <f t="shared" si="9"/>
        <v>9.4739031434680023E-16</v>
      </c>
      <c r="P39" s="178">
        <f t="shared" si="15"/>
        <v>0.1</v>
      </c>
      <c r="Q39" s="178">
        <f t="shared" si="16"/>
        <v>0.11</v>
      </c>
      <c r="R39" s="183">
        <f>M39*P39</f>
        <v>0</v>
      </c>
      <c r="S39" s="178"/>
      <c r="T39" s="179">
        <f t="shared" si="12"/>
        <v>8.9743841566659706E-16</v>
      </c>
      <c r="U39" s="224">
        <f t="shared" si="13"/>
        <v>8.8776863869327693E-16</v>
      </c>
      <c r="W39" s="182">
        <f t="shared" si="14"/>
        <v>0</v>
      </c>
    </row>
    <row r="40" spans="3:23" x14ac:dyDescent="0.2">
      <c r="C40" s="1">
        <f t="shared" si="17"/>
        <v>14</v>
      </c>
      <c r="D40" s="176">
        <f t="shared" si="0"/>
        <v>0</v>
      </c>
      <c r="E40" s="177">
        <f>($C$11-SUM($D$26:D39))*G40/12</f>
        <v>-9.4739031434680023E-16</v>
      </c>
      <c r="F40" s="177">
        <f t="shared" si="1"/>
        <v>-9.4739031434680023E-16</v>
      </c>
      <c r="G40" s="178">
        <f t="shared" si="2"/>
        <v>0.1</v>
      </c>
      <c r="H40" s="178">
        <f t="shared" si="3"/>
        <v>0.11</v>
      </c>
      <c r="I40" s="185">
        <f t="shared" ref="I40:I50" si="18">D40*G40</f>
        <v>0</v>
      </c>
      <c r="J40" s="178"/>
      <c r="K40" s="179">
        <f t="shared" si="6"/>
        <v>-8.9370686839012802E-16</v>
      </c>
      <c r="L40" s="179">
        <f t="shared" si="7"/>
        <v>-8.833408741357102E-16</v>
      </c>
      <c r="M40" s="225">
        <f t="shared" si="8"/>
        <v>0</v>
      </c>
      <c r="N40" s="187">
        <f>($C$16-SUM($M$26:M39))*P40/12</f>
        <v>9.4739031434680023E-16</v>
      </c>
      <c r="O40" s="187">
        <f t="shared" si="9"/>
        <v>9.4739031434680023E-16</v>
      </c>
      <c r="P40" s="178">
        <f t="shared" si="15"/>
        <v>0.1</v>
      </c>
      <c r="Q40" s="178">
        <f t="shared" si="16"/>
        <v>0.11</v>
      </c>
      <c r="R40" s="183">
        <f t="shared" ref="R40:R50" si="19">M40*P40</f>
        <v>0</v>
      </c>
      <c r="S40" s="178"/>
      <c r="T40" s="179">
        <f t="shared" si="12"/>
        <v>8.9370686839012802E-16</v>
      </c>
      <c r="U40" s="224">
        <f t="shared" si="13"/>
        <v>8.833408741357102E-16</v>
      </c>
      <c r="W40" s="182">
        <f t="shared" si="14"/>
        <v>0</v>
      </c>
    </row>
    <row r="41" spans="3:23" x14ac:dyDescent="0.2">
      <c r="C41" s="1">
        <f t="shared" si="17"/>
        <v>15</v>
      </c>
      <c r="D41" s="176">
        <f t="shared" si="0"/>
        <v>0</v>
      </c>
      <c r="E41" s="177">
        <f>($C$11-SUM($D$26:D40))*G41/12</f>
        <v>-9.4739031434680023E-16</v>
      </c>
      <c r="F41" s="177">
        <f t="shared" si="1"/>
        <v>-9.4739031434680023E-16</v>
      </c>
      <c r="G41" s="178">
        <f t="shared" si="2"/>
        <v>0.1</v>
      </c>
      <c r="H41" s="178">
        <f t="shared" si="3"/>
        <v>0.11</v>
      </c>
      <c r="I41" s="185">
        <f t="shared" si="18"/>
        <v>0</v>
      </c>
      <c r="J41" s="178"/>
      <c r="K41" s="179">
        <f t="shared" si="6"/>
        <v>-8.899908368803493E-16</v>
      </c>
      <c r="L41" s="179">
        <f t="shared" si="7"/>
        <v>-8.7893519314600403E-16</v>
      </c>
      <c r="M41" s="225">
        <f t="shared" si="8"/>
        <v>0</v>
      </c>
      <c r="N41" s="187">
        <f>($C$16-SUM($M$26:M40))*P41/12</f>
        <v>9.4739031434680023E-16</v>
      </c>
      <c r="O41" s="187">
        <f t="shared" si="9"/>
        <v>9.4739031434680023E-16</v>
      </c>
      <c r="P41" s="178">
        <f t="shared" si="15"/>
        <v>0.1</v>
      </c>
      <c r="Q41" s="178">
        <f t="shared" si="16"/>
        <v>0.11</v>
      </c>
      <c r="R41" s="183">
        <f t="shared" si="19"/>
        <v>0</v>
      </c>
      <c r="S41" s="178"/>
      <c r="T41" s="179">
        <f t="shared" si="12"/>
        <v>8.899908368803493E-16</v>
      </c>
      <c r="U41" s="224">
        <f t="shared" si="13"/>
        <v>8.7893519314600403E-16</v>
      </c>
      <c r="W41" s="182">
        <f t="shared" si="14"/>
        <v>0</v>
      </c>
    </row>
    <row r="42" spans="3:23" x14ac:dyDescent="0.2">
      <c r="C42" s="1">
        <f t="shared" si="17"/>
        <v>16</v>
      </c>
      <c r="D42" s="176">
        <f t="shared" si="0"/>
        <v>0</v>
      </c>
      <c r="E42" s="177">
        <f>($C$11-SUM($D$26:D41))*G42/12</f>
        <v>-9.4739031434680023E-16</v>
      </c>
      <c r="F42" s="177">
        <f t="shared" si="1"/>
        <v>-9.4739031434680023E-16</v>
      </c>
      <c r="G42" s="178">
        <f t="shared" si="2"/>
        <v>0.1</v>
      </c>
      <c r="H42" s="178">
        <f t="shared" si="3"/>
        <v>0.11</v>
      </c>
      <c r="I42" s="185">
        <f t="shared" si="18"/>
        <v>0</v>
      </c>
      <c r="J42" s="178"/>
      <c r="K42" s="179">
        <f t="shared" si="6"/>
        <v>-8.8629025662273175E-16</v>
      </c>
      <c r="L42" s="179">
        <f t="shared" si="7"/>
        <v>-8.7455148558190454E-16</v>
      </c>
      <c r="M42" s="225">
        <f t="shared" si="8"/>
        <v>0</v>
      </c>
      <c r="N42" s="187">
        <f>($C$16-SUM($M$26:M41))*P42/12</f>
        <v>9.4739031434680023E-16</v>
      </c>
      <c r="O42" s="187">
        <f t="shared" si="9"/>
        <v>9.4739031434680023E-16</v>
      </c>
      <c r="P42" s="178">
        <f t="shared" si="15"/>
        <v>0.1</v>
      </c>
      <c r="Q42" s="178">
        <f t="shared" si="16"/>
        <v>0.11</v>
      </c>
      <c r="R42" s="183">
        <f t="shared" si="19"/>
        <v>0</v>
      </c>
      <c r="S42" s="178"/>
      <c r="T42" s="179">
        <f t="shared" si="12"/>
        <v>8.8629025662273175E-16</v>
      </c>
      <c r="U42" s="224">
        <f t="shared" si="13"/>
        <v>8.7455148558190454E-16</v>
      </c>
      <c r="W42" s="182">
        <f t="shared" si="14"/>
        <v>0</v>
      </c>
    </row>
    <row r="43" spans="3:23" x14ac:dyDescent="0.2">
      <c r="C43" s="1">
        <f t="shared" si="17"/>
        <v>17</v>
      </c>
      <c r="D43" s="176">
        <f t="shared" si="0"/>
        <v>0</v>
      </c>
      <c r="E43" s="177">
        <f>($C$11-SUM($D$26:D42))*G43/12</f>
        <v>-9.4739031434680023E-16</v>
      </c>
      <c r="F43" s="177">
        <f t="shared" si="1"/>
        <v>-9.4739031434680023E-16</v>
      </c>
      <c r="G43" s="178">
        <f t="shared" si="2"/>
        <v>0.1</v>
      </c>
      <c r="H43" s="178">
        <f t="shared" si="3"/>
        <v>0.11</v>
      </c>
      <c r="I43" s="185">
        <f t="shared" si="18"/>
        <v>0</v>
      </c>
      <c r="J43" s="178"/>
      <c r="K43" s="179">
        <f t="shared" si="6"/>
        <v>-8.8260506337099726E-16</v>
      </c>
      <c r="L43" s="179">
        <f t="shared" si="7"/>
        <v>-8.7018964185049424E-16</v>
      </c>
      <c r="M43" s="225">
        <f t="shared" si="8"/>
        <v>0</v>
      </c>
      <c r="N43" s="187">
        <f>($C$16-SUM($M$26:M42))*P43/12</f>
        <v>9.4739031434680023E-16</v>
      </c>
      <c r="O43" s="187">
        <f t="shared" si="9"/>
        <v>9.4739031434680023E-16</v>
      </c>
      <c r="P43" s="178">
        <f t="shared" si="15"/>
        <v>0.1</v>
      </c>
      <c r="Q43" s="178">
        <f t="shared" si="16"/>
        <v>0.11</v>
      </c>
      <c r="R43" s="183">
        <f t="shared" si="19"/>
        <v>0</v>
      </c>
      <c r="S43" s="178"/>
      <c r="T43" s="179">
        <f t="shared" si="12"/>
        <v>8.8260506337099726E-16</v>
      </c>
      <c r="U43" s="224">
        <f t="shared" si="13"/>
        <v>8.7018964185049424E-16</v>
      </c>
      <c r="W43" s="182">
        <f t="shared" si="14"/>
        <v>0</v>
      </c>
    </row>
    <row r="44" spans="3:23" x14ac:dyDescent="0.2">
      <c r="C44" s="1">
        <f t="shared" si="17"/>
        <v>18</v>
      </c>
      <c r="D44" s="176">
        <f t="shared" si="0"/>
        <v>0</v>
      </c>
      <c r="E44" s="177">
        <f>($C$11-SUM($D$26:D43))*G44/12</f>
        <v>-9.4739031434680023E-16</v>
      </c>
      <c r="F44" s="177">
        <f t="shared" si="1"/>
        <v>-9.4739031434680023E-16</v>
      </c>
      <c r="G44" s="178">
        <f t="shared" si="2"/>
        <v>0.1</v>
      </c>
      <c r="H44" s="178">
        <f t="shared" si="3"/>
        <v>0.11</v>
      </c>
      <c r="I44" s="185">
        <f t="shared" si="18"/>
        <v>0</v>
      </c>
      <c r="J44" s="178"/>
      <c r="K44" s="179">
        <f t="shared" si="6"/>
        <v>-8.7893519314600403E-16</v>
      </c>
      <c r="L44" s="179">
        <f t="shared" si="7"/>
        <v>-8.6584955290545256E-16</v>
      </c>
      <c r="M44" s="225">
        <f t="shared" si="8"/>
        <v>0</v>
      </c>
      <c r="N44" s="187">
        <f>($C$16-SUM($M$26:M43))*P44/12</f>
        <v>9.4739031434680023E-16</v>
      </c>
      <c r="O44" s="187">
        <f t="shared" si="9"/>
        <v>9.4739031434680023E-16</v>
      </c>
      <c r="P44" s="178">
        <f t="shared" si="15"/>
        <v>0.1</v>
      </c>
      <c r="Q44" s="178">
        <f t="shared" si="16"/>
        <v>0.11</v>
      </c>
      <c r="R44" s="183">
        <f t="shared" si="19"/>
        <v>0</v>
      </c>
      <c r="S44" s="178"/>
      <c r="T44" s="179">
        <f t="shared" si="12"/>
        <v>8.7893519314600403E-16</v>
      </c>
      <c r="U44" s="224">
        <f t="shared" si="13"/>
        <v>8.6584955290545256E-16</v>
      </c>
      <c r="W44" s="182">
        <f t="shared" si="14"/>
        <v>0</v>
      </c>
    </row>
    <row r="45" spans="3:23" x14ac:dyDescent="0.2">
      <c r="C45" s="1">
        <f t="shared" si="17"/>
        <v>19</v>
      </c>
      <c r="D45" s="176">
        <f t="shared" si="0"/>
        <v>0</v>
      </c>
      <c r="E45" s="177">
        <f>($C$11-SUM($D$26:D44))*G45/12</f>
        <v>-9.4739031434680023E-16</v>
      </c>
      <c r="F45" s="177">
        <f t="shared" si="1"/>
        <v>-9.4739031434680023E-16</v>
      </c>
      <c r="G45" s="178">
        <f t="shared" si="2"/>
        <v>0.1</v>
      </c>
      <c r="H45" s="178">
        <f t="shared" si="3"/>
        <v>0.11</v>
      </c>
      <c r="I45" s="185">
        <f t="shared" si="18"/>
        <v>0</v>
      </c>
      <c r="J45" s="178"/>
      <c r="K45" s="179">
        <f t="shared" si="6"/>
        <v>-8.7528058223463517E-16</v>
      </c>
      <c r="L45" s="179">
        <f t="shared" si="7"/>
        <v>-8.6153111024432996E-16</v>
      </c>
      <c r="M45" s="225">
        <f t="shared" si="8"/>
        <v>0</v>
      </c>
      <c r="N45" s="187">
        <f>($C$16-SUM($M$26:M44))*P45/12</f>
        <v>9.4739031434680023E-16</v>
      </c>
      <c r="O45" s="187">
        <f t="shared" si="9"/>
        <v>9.4739031434680023E-16</v>
      </c>
      <c r="P45" s="178">
        <f t="shared" si="15"/>
        <v>0.1</v>
      </c>
      <c r="Q45" s="178">
        <f t="shared" si="16"/>
        <v>0.11</v>
      </c>
      <c r="R45" s="183">
        <f t="shared" si="19"/>
        <v>0</v>
      </c>
      <c r="S45" s="178"/>
      <c r="T45" s="179">
        <f t="shared" si="12"/>
        <v>8.7528058223463517E-16</v>
      </c>
      <c r="U45" s="224">
        <f t="shared" si="13"/>
        <v>8.6153111024432996E-16</v>
      </c>
      <c r="W45" s="182">
        <f t="shared" si="14"/>
        <v>0</v>
      </c>
    </row>
    <row r="46" spans="3:23" x14ac:dyDescent="0.2">
      <c r="C46" s="1">
        <f t="shared" si="17"/>
        <v>20</v>
      </c>
      <c r="D46" s="176">
        <f t="shared" si="0"/>
        <v>0</v>
      </c>
      <c r="E46" s="177">
        <f>($C$11-SUM($D$26:D45))*G46/12</f>
        <v>-9.4739031434680023E-16</v>
      </c>
      <c r="F46" s="177">
        <f t="shared" si="1"/>
        <v>-9.4739031434680023E-16</v>
      </c>
      <c r="G46" s="178">
        <f t="shared" si="2"/>
        <v>0.1</v>
      </c>
      <c r="H46" s="178">
        <f t="shared" si="3"/>
        <v>0.11</v>
      </c>
      <c r="I46" s="185">
        <f t="shared" si="18"/>
        <v>0</v>
      </c>
      <c r="J46" s="178"/>
      <c r="K46" s="179">
        <f t="shared" si="6"/>
        <v>-8.716411671886924E-16</v>
      </c>
      <c r="L46" s="179">
        <f t="shared" si="7"/>
        <v>-8.5723420590583474E-16</v>
      </c>
      <c r="M46" s="225">
        <f t="shared" si="8"/>
        <v>0</v>
      </c>
      <c r="N46" s="187">
        <f>($C$16-SUM($M$26:M45))*P46/12</f>
        <v>9.4739031434680023E-16</v>
      </c>
      <c r="O46" s="187">
        <f t="shared" si="9"/>
        <v>9.4739031434680023E-16</v>
      </c>
      <c r="P46" s="178">
        <f t="shared" si="15"/>
        <v>0.1</v>
      </c>
      <c r="Q46" s="178">
        <f t="shared" si="16"/>
        <v>0.11</v>
      </c>
      <c r="R46" s="183">
        <f t="shared" si="19"/>
        <v>0</v>
      </c>
      <c r="S46" s="178"/>
      <c r="T46" s="179">
        <f t="shared" si="12"/>
        <v>8.716411671886924E-16</v>
      </c>
      <c r="U46" s="224">
        <f t="shared" si="13"/>
        <v>8.5723420590583474E-16</v>
      </c>
      <c r="W46" s="182">
        <f t="shared" si="14"/>
        <v>0</v>
      </c>
    </row>
    <row r="47" spans="3:23" x14ac:dyDescent="0.2">
      <c r="C47" s="1">
        <f t="shared" si="17"/>
        <v>21</v>
      </c>
      <c r="D47" s="176">
        <f t="shared" si="0"/>
        <v>0</v>
      </c>
      <c r="E47" s="177">
        <f>($C$11-SUM($D$26:D46))*G47/12</f>
        <v>-9.4739031434680023E-16</v>
      </c>
      <c r="F47" s="177">
        <f t="shared" si="1"/>
        <v>-9.4739031434680023E-16</v>
      </c>
      <c r="G47" s="178">
        <f t="shared" si="2"/>
        <v>0.1</v>
      </c>
      <c r="H47" s="178">
        <f t="shared" si="3"/>
        <v>0.11</v>
      </c>
      <c r="I47" s="185">
        <f t="shared" si="18"/>
        <v>0</v>
      </c>
      <c r="J47" s="178"/>
      <c r="K47" s="179">
        <f t="shared" si="6"/>
        <v>-8.6801688482379551E-16</v>
      </c>
      <c r="L47" s="179">
        <f t="shared" si="7"/>
        <v>-8.5295873246713506E-16</v>
      </c>
      <c r="M47" s="225">
        <f t="shared" si="8"/>
        <v>0</v>
      </c>
      <c r="N47" s="187">
        <f>($C$16-SUM($M$26:M46))*P47/12</f>
        <v>9.4739031434680023E-16</v>
      </c>
      <c r="O47" s="187">
        <f t="shared" si="9"/>
        <v>9.4739031434680023E-16</v>
      </c>
      <c r="P47" s="178">
        <f t="shared" si="15"/>
        <v>0.1</v>
      </c>
      <c r="Q47" s="178">
        <f t="shared" si="16"/>
        <v>0.11</v>
      </c>
      <c r="R47" s="183">
        <f t="shared" si="19"/>
        <v>0</v>
      </c>
      <c r="S47" s="178"/>
      <c r="T47" s="179">
        <f t="shared" si="12"/>
        <v>8.6801688482379551E-16</v>
      </c>
      <c r="U47" s="224">
        <f t="shared" si="13"/>
        <v>8.5295873246713506E-16</v>
      </c>
      <c r="W47" s="182">
        <f t="shared" si="14"/>
        <v>0</v>
      </c>
    </row>
    <row r="48" spans="3:23" x14ac:dyDescent="0.2">
      <c r="C48" s="1">
        <f t="shared" si="17"/>
        <v>22</v>
      </c>
      <c r="D48" s="176">
        <f t="shared" si="0"/>
        <v>0</v>
      </c>
      <c r="E48" s="177">
        <f>($C$11-SUM($D$26:D47))*G48/12</f>
        <v>-9.4739031434680023E-16</v>
      </c>
      <c r="F48" s="177">
        <f t="shared" si="1"/>
        <v>-9.4739031434680023E-16</v>
      </c>
      <c r="G48" s="178">
        <f t="shared" si="2"/>
        <v>0.1</v>
      </c>
      <c r="H48" s="178">
        <f t="shared" si="3"/>
        <v>0.11</v>
      </c>
      <c r="I48" s="185">
        <f t="shared" si="18"/>
        <v>0</v>
      </c>
      <c r="J48" s="178"/>
      <c r="K48" s="179">
        <f t="shared" si="6"/>
        <v>-8.6440767221828486E-16</v>
      </c>
      <c r="L48" s="179">
        <f t="shared" si="7"/>
        <v>-8.4870458304117182E-16</v>
      </c>
      <c r="M48" s="225">
        <f t="shared" si="8"/>
        <v>0</v>
      </c>
      <c r="N48" s="187">
        <f>($C$16-SUM($M$26:M47))*P48/12</f>
        <v>9.4739031434680023E-16</v>
      </c>
      <c r="O48" s="187">
        <f t="shared" si="9"/>
        <v>9.4739031434680023E-16</v>
      </c>
      <c r="P48" s="178">
        <f t="shared" si="15"/>
        <v>0.1</v>
      </c>
      <c r="Q48" s="178">
        <f t="shared" si="16"/>
        <v>0.11</v>
      </c>
      <c r="R48" s="183">
        <f t="shared" si="19"/>
        <v>0</v>
      </c>
      <c r="S48" s="178"/>
      <c r="T48" s="179">
        <f t="shared" si="12"/>
        <v>8.6440767221828486E-16</v>
      </c>
      <c r="U48" s="224">
        <f t="shared" si="13"/>
        <v>8.4870458304117182E-16</v>
      </c>
      <c r="W48" s="182">
        <f t="shared" si="14"/>
        <v>0</v>
      </c>
    </row>
    <row r="49" spans="3:23" x14ac:dyDescent="0.2">
      <c r="C49" s="1">
        <f t="shared" si="17"/>
        <v>23</v>
      </c>
      <c r="D49" s="176">
        <f t="shared" si="0"/>
        <v>0</v>
      </c>
      <c r="E49" s="177">
        <f>($C$11-SUM($D$26:D48))*G49/12</f>
        <v>-9.4739031434680023E-16</v>
      </c>
      <c r="F49" s="177">
        <f t="shared" si="1"/>
        <v>-9.4739031434680023E-16</v>
      </c>
      <c r="G49" s="178">
        <f t="shared" si="2"/>
        <v>0.1</v>
      </c>
      <c r="H49" s="178">
        <f t="shared" si="3"/>
        <v>0.11</v>
      </c>
      <c r="I49" s="185">
        <f t="shared" si="18"/>
        <v>0</v>
      </c>
      <c r="J49" s="178"/>
      <c r="K49" s="179">
        <f t="shared" si="6"/>
        <v>-8.6081346671212837E-16</v>
      </c>
      <c r="L49" s="179">
        <f t="shared" si="7"/>
        <v>-8.4447165127398807E-16</v>
      </c>
      <c r="M49" s="225">
        <f t="shared" si="8"/>
        <v>0</v>
      </c>
      <c r="N49" s="187">
        <f>($C$16-SUM($M$26:M48))*P49/12</f>
        <v>9.4739031434680023E-16</v>
      </c>
      <c r="O49" s="187">
        <f t="shared" si="9"/>
        <v>9.4739031434680023E-16</v>
      </c>
      <c r="P49" s="178">
        <f t="shared" si="15"/>
        <v>0.1</v>
      </c>
      <c r="Q49" s="178">
        <f t="shared" si="16"/>
        <v>0.11</v>
      </c>
      <c r="R49" s="183">
        <f t="shared" si="19"/>
        <v>0</v>
      </c>
      <c r="S49" s="178"/>
      <c r="T49" s="179">
        <f t="shared" si="12"/>
        <v>8.6081346671212837E-16</v>
      </c>
      <c r="U49" s="224">
        <f t="shared" si="13"/>
        <v>8.4447165127398807E-16</v>
      </c>
      <c r="W49" s="182">
        <f t="shared" si="14"/>
        <v>0</v>
      </c>
    </row>
    <row r="50" spans="3:23" ht="10.8" thickBot="1" x14ac:dyDescent="0.25">
      <c r="C50" s="1">
        <f t="shared" si="17"/>
        <v>24</v>
      </c>
      <c r="D50" s="197">
        <f t="shared" si="0"/>
        <v>0</v>
      </c>
      <c r="E50" s="180">
        <f>($C$11-SUM($D$26:D49))*G50/12</f>
        <v>-9.4739031434680023E-16</v>
      </c>
      <c r="F50" s="180">
        <f t="shared" si="1"/>
        <v>-9.4739031434680023E-16</v>
      </c>
      <c r="G50" s="181">
        <f t="shared" si="2"/>
        <v>0.1</v>
      </c>
      <c r="H50" s="181">
        <f t="shared" si="3"/>
        <v>0.11</v>
      </c>
      <c r="I50" s="186">
        <f t="shared" si="18"/>
        <v>0</v>
      </c>
      <c r="J50" s="181"/>
      <c r="K50" s="179">
        <f t="shared" si="6"/>
        <v>-8.5723420590583474E-16</v>
      </c>
      <c r="L50" s="179">
        <f t="shared" si="7"/>
        <v>-8.4025983134206914E-16</v>
      </c>
      <c r="M50" s="226">
        <f t="shared" si="8"/>
        <v>0</v>
      </c>
      <c r="N50" s="227">
        <f>($C$16-SUM($M$26:M49))*P50/12</f>
        <v>9.4739031434680023E-16</v>
      </c>
      <c r="O50" s="227">
        <f t="shared" si="9"/>
        <v>9.4739031434680023E-16</v>
      </c>
      <c r="P50" s="228">
        <f t="shared" si="15"/>
        <v>0.1</v>
      </c>
      <c r="Q50" s="228">
        <f t="shared" si="16"/>
        <v>0.11</v>
      </c>
      <c r="R50" s="229">
        <f t="shared" si="19"/>
        <v>0</v>
      </c>
      <c r="S50" s="228"/>
      <c r="T50" s="230">
        <f t="shared" si="12"/>
        <v>8.5723420590583474E-16</v>
      </c>
      <c r="U50" s="231">
        <f t="shared" si="13"/>
        <v>8.4025983134206914E-16</v>
      </c>
      <c r="W50" s="182">
        <f t="shared" si="14"/>
        <v>0</v>
      </c>
    </row>
  </sheetData>
  <mergeCells count="2">
    <mergeCell ref="D24:L24"/>
    <mergeCell ref="M24:U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2DE9-2721-44D4-ACB2-E0B78B628EDE}">
  <dimension ref="B2:S68"/>
  <sheetViews>
    <sheetView tabSelected="1" topLeftCell="A66" zoomScale="80" zoomScaleNormal="80" workbookViewId="0">
      <selection activeCell="F74" sqref="F74"/>
    </sheetView>
  </sheetViews>
  <sheetFormatPr defaultRowHeight="10.199999999999999" x14ac:dyDescent="0.2"/>
  <cols>
    <col min="1" max="2" width="8.88671875" style="1"/>
    <col min="3" max="3" width="20.5546875" style="1" customWidth="1"/>
    <col min="4" max="12" width="8.88671875" style="1"/>
    <col min="13" max="13" width="12" style="1" customWidth="1"/>
    <col min="14" max="16384" width="8.88671875" style="1"/>
  </cols>
  <sheetData>
    <row r="2" spans="2:19" s="78" customFormat="1" x14ac:dyDescent="0.2">
      <c r="B2" s="78" t="s">
        <v>86</v>
      </c>
    </row>
    <row r="4" spans="2:19" x14ac:dyDescent="0.2">
      <c r="B4" s="77" t="s">
        <v>88</v>
      </c>
      <c r="C4" s="77" t="s">
        <v>87</v>
      </c>
    </row>
    <row r="6" spans="2:19" x14ac:dyDescent="0.2">
      <c r="B6" s="10" t="str">
        <f>'IR gap and ∆NII - detailed calc'!B70</f>
        <v>№</v>
      </c>
      <c r="C6" s="10" t="str">
        <f>'IR gap and ∆NII - detailed calc'!C70</f>
        <v>Position</v>
      </c>
      <c r="D6" s="10" t="str">
        <f>'IR gap and ∆NII - detailed calc'!D70</f>
        <v>up to 1m</v>
      </c>
      <c r="E6" s="10" t="str">
        <f>'IR gap and ∆NII - detailed calc'!E70</f>
        <v>1-3 m</v>
      </c>
      <c r="F6" s="10" t="str">
        <f>'IR gap and ∆NII - detailed calc'!F70</f>
        <v>3-6 m</v>
      </c>
      <c r="G6" s="10" t="str">
        <f>'IR gap and ∆NII - detailed calc'!G70</f>
        <v>6-9 m</v>
      </c>
      <c r="H6" s="10" t="str">
        <f>'IR gap and ∆NII - detailed calc'!H70</f>
        <v>9-12 m</v>
      </c>
      <c r="I6" s="10" t="str">
        <f>'IR gap and ∆NII - detailed calc'!I70</f>
        <v>1-3 y</v>
      </c>
      <c r="J6" s="10" t="str">
        <f>'IR gap and ∆NII - detailed calc'!J70</f>
        <v>3-5 y</v>
      </c>
      <c r="K6" s="10" t="str">
        <f>'IR gap and ∆NII - detailed calc'!K70</f>
        <v>5-7 y</v>
      </c>
      <c r="L6" s="10" t="str">
        <f>'IR gap and ∆NII - detailed calc'!L70</f>
        <v>7-10 y</v>
      </c>
      <c r="M6" s="10" t="str">
        <f>'IR gap and ∆NII - detailed calc'!M70</f>
        <v>not sensitive</v>
      </c>
    </row>
    <row r="7" spans="2:19" x14ac:dyDescent="0.2">
      <c r="B7" s="11">
        <f>'IR gap and ∆NII - detailed calc'!B71</f>
        <v>1</v>
      </c>
      <c r="C7" s="12" t="str">
        <f>'IR gap and ∆NII - detailed calc'!C71</f>
        <v>Loan to legal entity</v>
      </c>
      <c r="D7" s="79">
        <f>'IR gap and ∆NII - detailed calc'!D71</f>
        <v>0</v>
      </c>
      <c r="E7" s="79">
        <f>'IR gap and ∆NII - detailed calc'!E71</f>
        <v>10000</v>
      </c>
      <c r="F7" s="79">
        <f>'IR gap and ∆NII - detailed calc'!F71</f>
        <v>0</v>
      </c>
      <c r="G7" s="79">
        <f>'IR gap and ∆NII - detailed calc'!G71</f>
        <v>0</v>
      </c>
      <c r="H7" s="79">
        <f>'IR gap and ∆NII - detailed calc'!H71</f>
        <v>0</v>
      </c>
      <c r="I7" s="79">
        <f>'IR gap and ∆NII - detailed calc'!I71</f>
        <v>0</v>
      </c>
      <c r="J7" s="79">
        <f>'IR gap and ∆NII - detailed calc'!J71</f>
        <v>0</v>
      </c>
      <c r="K7" s="79">
        <f>'IR gap and ∆NII - detailed calc'!K71</f>
        <v>0</v>
      </c>
      <c r="L7" s="79">
        <f>'IR gap and ∆NII - detailed calc'!L71</f>
        <v>0</v>
      </c>
      <c r="M7" s="79">
        <f>'IR gap and ∆NII - detailed calc'!M71</f>
        <v>0</v>
      </c>
      <c r="N7" s="102"/>
    </row>
    <row r="8" spans="2:19" x14ac:dyDescent="0.2">
      <c r="B8" s="11">
        <f>'IR gap and ∆NII - detailed calc'!B72</f>
        <v>2</v>
      </c>
      <c r="C8" s="13" t="str">
        <f>'IR gap and ∆NII - detailed calc'!C72</f>
        <v>Mortgage loan to individuals</v>
      </c>
      <c r="D8" s="79">
        <f>'IR gap and ∆NII - detailed calc'!D72</f>
        <v>112.8993008635867</v>
      </c>
      <c r="E8" s="79">
        <f>'IR gap and ∆NII - detailed calc'!E72</f>
        <v>230.04996602531781</v>
      </c>
      <c r="F8" s="79">
        <f>'IR gap and ∆NII - detailed calc'!F72</f>
        <v>355.97129168887943</v>
      </c>
      <c r="G8" s="79">
        <f>'IR gap and ∆NII - detailed calc'!G72</f>
        <v>369.48777192662067</v>
      </c>
      <c r="H8" s="79">
        <f>'IR gap and ∆NII - detailed calc'!H72</f>
        <v>383.51748242276409</v>
      </c>
      <c r="I8" s="79">
        <f>'IR gap and ∆NII - detailed calc'!I72</f>
        <v>3641.5832159249794</v>
      </c>
      <c r="J8" s="79">
        <f>'IR gap and ∆NII - detailed calc'!J72</f>
        <v>4906.4909711477931</v>
      </c>
      <c r="K8" s="79">
        <f>'IR gap and ∆NII - detailed calc'!K72</f>
        <v>0</v>
      </c>
      <c r="L8" s="79">
        <f>'IR gap and ∆NII - detailed calc'!L72</f>
        <v>0</v>
      </c>
      <c r="M8" s="79">
        <f>'IR gap and ∆NII - detailed calc'!M72</f>
        <v>0</v>
      </c>
      <c r="N8" s="102"/>
    </row>
    <row r="9" spans="2:19" x14ac:dyDescent="0.2">
      <c r="B9" s="11">
        <f>'IR gap and ∆NII - detailed calc'!B73</f>
        <v>3</v>
      </c>
      <c r="C9" s="12" t="str">
        <f>'IR gap and ∆NII - detailed calc'!C73</f>
        <v>Loan to legal entity</v>
      </c>
      <c r="D9" s="79">
        <f>'IR gap and ∆NII - detailed calc'!D73</f>
        <v>50</v>
      </c>
      <c r="E9" s="79">
        <f>'IR gap and ∆NII - detailed calc'!E73</f>
        <v>100</v>
      </c>
      <c r="F9" s="79">
        <f>'IR gap and ∆NII - detailed calc'!F73</f>
        <v>150</v>
      </c>
      <c r="G9" s="79">
        <f>'IR gap and ∆NII - detailed calc'!G73</f>
        <v>150</v>
      </c>
      <c r="H9" s="79">
        <f>'IR gap and ∆NII - detailed calc'!H73</f>
        <v>150</v>
      </c>
      <c r="I9" s="79">
        <f>'IR gap and ∆NII - detailed calc'!I73</f>
        <v>1200</v>
      </c>
      <c r="J9" s="79">
        <f>'IR gap and ∆NII - detailed calc'!J73</f>
        <v>1200</v>
      </c>
      <c r="K9" s="79">
        <f>'IR gap and ∆NII - detailed calc'!K73</f>
        <v>1200</v>
      </c>
      <c r="L9" s="79">
        <f>'IR gap and ∆NII - detailed calc'!L73</f>
        <v>1800</v>
      </c>
      <c r="M9" s="79">
        <f>'IR gap and ∆NII - detailed calc'!M73</f>
        <v>0</v>
      </c>
      <c r="N9" s="102"/>
    </row>
    <row r="10" spans="2:19" x14ac:dyDescent="0.2">
      <c r="B10" s="11">
        <f>'IR gap and ∆NII - detailed calc'!B74</f>
        <v>4</v>
      </c>
      <c r="C10" s="13" t="str">
        <f>'IR gap and ∆NII - detailed calc'!C74</f>
        <v>Investments in associates</v>
      </c>
      <c r="D10" s="79">
        <f>'IR gap and ∆NII - detailed calc'!D74</f>
        <v>0</v>
      </c>
      <c r="E10" s="79">
        <f>'IR gap and ∆NII - detailed calc'!E74</f>
        <v>0</v>
      </c>
      <c r="F10" s="79">
        <f>'IR gap and ∆NII - detailed calc'!F74</f>
        <v>0</v>
      </c>
      <c r="G10" s="79">
        <f>'IR gap and ∆NII - detailed calc'!G74</f>
        <v>0</v>
      </c>
      <c r="H10" s="79">
        <f>'IR gap and ∆NII - detailed calc'!H74</f>
        <v>0</v>
      </c>
      <c r="I10" s="79">
        <f>'IR gap and ∆NII - detailed calc'!I74</f>
        <v>0</v>
      </c>
      <c r="J10" s="79">
        <f>'IR gap and ∆NII - detailed calc'!J74</f>
        <v>0</v>
      </c>
      <c r="K10" s="79">
        <f>'IR gap and ∆NII - detailed calc'!K74</f>
        <v>0</v>
      </c>
      <c r="L10" s="79">
        <f>'IR gap and ∆NII - detailed calc'!L74</f>
        <v>0</v>
      </c>
      <c r="M10" s="79">
        <f>'IR gap and ∆NII - detailed calc'!M74</f>
        <v>10000</v>
      </c>
      <c r="N10" s="102"/>
    </row>
    <row r="11" spans="2:19" x14ac:dyDescent="0.2">
      <c r="B11" s="11">
        <f>'IR gap and ∆NII - detailed calc'!B75</f>
        <v>5</v>
      </c>
      <c r="C11" s="13" t="str">
        <f>'IR gap and ∆NII - detailed calc'!C75</f>
        <v>Deposit to legal entity</v>
      </c>
      <c r="D11" s="79">
        <f>'IR gap and ∆NII - detailed calc'!D75</f>
        <v>0</v>
      </c>
      <c r="E11" s="79">
        <f>'IR gap and ∆NII - detailed calc'!E75</f>
        <v>-15000</v>
      </c>
      <c r="F11" s="79">
        <f>'IR gap and ∆NII - detailed calc'!F75</f>
        <v>0</v>
      </c>
      <c r="G11" s="79">
        <f>'IR gap and ∆NII - detailed calc'!G75</f>
        <v>0</v>
      </c>
      <c r="H11" s="79">
        <f>'IR gap and ∆NII - detailed calc'!H75</f>
        <v>0</v>
      </c>
      <c r="I11" s="79">
        <f>'IR gap and ∆NII - detailed calc'!I75</f>
        <v>0</v>
      </c>
      <c r="J11" s="79">
        <f>'IR gap and ∆NII - detailed calc'!J75</f>
        <v>0</v>
      </c>
      <c r="K11" s="79">
        <f>'IR gap and ∆NII - detailed calc'!K75</f>
        <v>0</v>
      </c>
      <c r="L11" s="79">
        <f>'IR gap and ∆NII - detailed calc'!L75</f>
        <v>0</v>
      </c>
      <c r="M11" s="79">
        <f>'IR gap and ∆NII - detailed calc'!M75</f>
        <v>0</v>
      </c>
      <c r="N11" s="102"/>
    </row>
    <row r="12" spans="2:19" ht="30.6" x14ac:dyDescent="0.2">
      <c r="B12" s="11">
        <f>'IR gap and ∆NII - detailed calc'!B76</f>
        <v>6</v>
      </c>
      <c r="C12" s="12" t="str">
        <f>'IR gap and ∆NII - detailed calc'!C76</f>
        <v>Current accounts of legal entities without irreducable balance</v>
      </c>
      <c r="D12" s="79">
        <f>'IR gap and ∆NII - detailed calc'!D76</f>
        <v>0</v>
      </c>
      <c r="E12" s="79">
        <f>'IR gap and ∆NII - detailed calc'!E76</f>
        <v>0</v>
      </c>
      <c r="F12" s="79">
        <f>'IR gap and ∆NII - detailed calc'!F76</f>
        <v>0</v>
      </c>
      <c r="G12" s="79">
        <f>'IR gap and ∆NII - detailed calc'!G76</f>
        <v>0</v>
      </c>
      <c r="H12" s="79">
        <f>'IR gap and ∆NII - detailed calc'!H76</f>
        <v>0</v>
      </c>
      <c r="I12" s="79">
        <f>'IR gap and ∆NII - detailed calc'!I76</f>
        <v>0</v>
      </c>
      <c r="J12" s="79">
        <f>'IR gap and ∆NII - detailed calc'!J76</f>
        <v>0</v>
      </c>
      <c r="K12" s="79">
        <f>'IR gap and ∆NII - detailed calc'!K76</f>
        <v>0</v>
      </c>
      <c r="L12" s="79">
        <f>'IR gap and ∆NII - detailed calc'!L76</f>
        <v>0</v>
      </c>
      <c r="M12" s="79">
        <f>'IR gap and ∆NII - detailed calc'!M76</f>
        <v>-5000</v>
      </c>
      <c r="N12" s="102"/>
    </row>
    <row r="13" spans="2:19" x14ac:dyDescent="0.2">
      <c r="B13" s="11">
        <f>'IR gap and ∆NII - detailed calc'!B77</f>
        <v>7</v>
      </c>
      <c r="C13" s="12" t="str">
        <f>'IR gap and ∆NII - detailed calc'!C77</f>
        <v>Current accounts of individuals</v>
      </c>
      <c r="D13" s="79">
        <f>'IR gap and ∆NII - detailed calc'!D77</f>
        <v>0</v>
      </c>
      <c r="E13" s="79">
        <f>'IR gap and ∆NII - detailed calc'!E77</f>
        <v>0</v>
      </c>
      <c r="F13" s="79">
        <f>'IR gap and ∆NII - detailed calc'!F77</f>
        <v>0</v>
      </c>
      <c r="G13" s="79">
        <f>'IR gap and ∆NII - detailed calc'!G77</f>
        <v>0</v>
      </c>
      <c r="H13" s="79">
        <f>'IR gap and ∆NII - detailed calc'!H77</f>
        <v>0</v>
      </c>
      <c r="I13" s="79">
        <f>'IR gap and ∆NII - detailed calc'!I77</f>
        <v>0</v>
      </c>
      <c r="J13" s="79">
        <f>'IR gap and ∆NII - detailed calc'!J77</f>
        <v>0</v>
      </c>
      <c r="K13" s="79">
        <f>'IR gap and ∆NII - detailed calc'!K77</f>
        <v>0</v>
      </c>
      <c r="L13" s="79">
        <f>'IR gap and ∆NII - detailed calc'!L77</f>
        <v>0</v>
      </c>
      <c r="M13" s="79">
        <f>'IR gap and ∆NII - detailed calc'!M77</f>
        <v>-6000</v>
      </c>
      <c r="N13" s="102"/>
    </row>
    <row r="14" spans="2:19" x14ac:dyDescent="0.2">
      <c r="B14" s="11">
        <f>'IR gap and ∆NII - detailed calc'!B78</f>
        <v>8</v>
      </c>
      <c r="C14" s="14" t="str">
        <f>'IR gap and ∆NII - detailed calc'!C78</f>
        <v>Debt securities issued</v>
      </c>
      <c r="D14" s="79">
        <f>'IR gap and ∆NII - detailed calc'!D78</f>
        <v>0</v>
      </c>
      <c r="E14" s="79">
        <f>'IR gap and ∆NII - detailed calc'!E78</f>
        <v>0</v>
      </c>
      <c r="F14" s="79">
        <f>'IR gap and ∆NII - detailed calc'!F78</f>
        <v>0</v>
      </c>
      <c r="G14" s="79">
        <f>'IR gap and ∆NII - detailed calc'!G78</f>
        <v>0</v>
      </c>
      <c r="H14" s="79">
        <f>'IR gap and ∆NII - detailed calc'!H78</f>
        <v>0</v>
      </c>
      <c r="I14" s="79">
        <f>'IR gap and ∆NII - detailed calc'!I78</f>
        <v>-5000</v>
      </c>
      <c r="J14" s="79">
        <f>'IR gap and ∆NII - detailed calc'!J78</f>
        <v>0</v>
      </c>
      <c r="K14" s="79">
        <f>'IR gap and ∆NII - detailed calc'!K78</f>
        <v>0</v>
      </c>
      <c r="L14" s="79">
        <f>'IR gap and ∆NII - detailed calc'!L78</f>
        <v>0</v>
      </c>
      <c r="M14" s="79">
        <f>'IR gap and ∆NII - detailed calc'!M78</f>
        <v>0</v>
      </c>
      <c r="N14" s="102"/>
    </row>
    <row r="15" spans="2:19" x14ac:dyDescent="0.2">
      <c r="B15" s="11">
        <f>'IR gap and ∆NII - detailed calc'!B79</f>
        <v>9</v>
      </c>
      <c r="C15" s="14" t="str">
        <f>'IR gap and ∆NII - detailed calc'!C79</f>
        <v>Equity</v>
      </c>
      <c r="D15" s="79">
        <f>'IR gap and ∆NII - detailed calc'!D79</f>
        <v>0</v>
      </c>
      <c r="E15" s="79">
        <f>'IR gap and ∆NII - detailed calc'!E79</f>
        <v>0</v>
      </c>
      <c r="F15" s="79">
        <f>'IR gap and ∆NII - detailed calc'!F79</f>
        <v>0</v>
      </c>
      <c r="G15" s="79">
        <f>'IR gap and ∆NII - detailed calc'!G79</f>
        <v>0</v>
      </c>
      <c r="H15" s="79">
        <f>'IR gap and ∆NII - detailed calc'!H79</f>
        <v>0</v>
      </c>
      <c r="I15" s="79">
        <f>'IR gap and ∆NII - detailed calc'!I79</f>
        <v>0</v>
      </c>
      <c r="J15" s="79">
        <f>'IR gap and ∆NII - detailed calc'!J79</f>
        <v>0</v>
      </c>
      <c r="K15" s="79">
        <f>'IR gap and ∆NII - detailed calc'!K79</f>
        <v>0</v>
      </c>
      <c r="L15" s="79">
        <f>'IR gap and ∆NII - detailed calc'!L79</f>
        <v>0</v>
      </c>
      <c r="M15" s="79">
        <f>'IR gap and ∆NII - detailed calc'!M79</f>
        <v>-5000</v>
      </c>
      <c r="N15" s="102"/>
    </row>
    <row r="16" spans="2:19" ht="10.8" thickBot="1" x14ac:dyDescent="0.25">
      <c r="B16" s="109">
        <f>'IR gap and ∆NII - detailed calc'!B80</f>
        <v>0</v>
      </c>
      <c r="C16" s="109" t="str">
        <f>'IR gap and ∆NII - detailed calc'!C80</f>
        <v>Interest rate gap</v>
      </c>
      <c r="D16" s="110">
        <f>'IR gap and ∆NII - detailed calc'!D80</f>
        <v>162.89930086358669</v>
      </c>
      <c r="E16" s="110">
        <f>'IR gap and ∆NII - detailed calc'!E80</f>
        <v>-4669.9500339746828</v>
      </c>
      <c r="F16" s="110">
        <f>'IR gap and ∆NII - detailed calc'!F80</f>
        <v>505.97129168887943</v>
      </c>
      <c r="G16" s="110">
        <f>'IR gap and ∆NII - detailed calc'!G80</f>
        <v>519.48777192662067</v>
      </c>
      <c r="H16" s="110">
        <f>'IR gap and ∆NII - detailed calc'!H80</f>
        <v>533.51748242276403</v>
      </c>
      <c r="I16" s="110">
        <f>'IR gap and ∆NII - detailed calc'!I80</f>
        <v>-158.41678407502059</v>
      </c>
      <c r="J16" s="110">
        <f>'IR gap and ∆NII - detailed calc'!J80</f>
        <v>6106.4909711477931</v>
      </c>
      <c r="K16" s="110">
        <f>'IR gap and ∆NII - detailed calc'!K80</f>
        <v>1200</v>
      </c>
      <c r="L16" s="110">
        <f>'IR gap and ∆NII - detailed calc'!L80</f>
        <v>1800</v>
      </c>
      <c r="M16" s="110">
        <f>'IR gap and ∆NII - detailed calc'!M80</f>
        <v>-6000</v>
      </c>
      <c r="N16" s="113"/>
      <c r="O16" s="114"/>
      <c r="P16" s="114"/>
      <c r="Q16" s="114"/>
      <c r="R16" s="114"/>
      <c r="S16" s="114"/>
    </row>
    <row r="17" spans="2:19" ht="10.8" thickBot="1" x14ac:dyDescent="0.25">
      <c r="B17" s="109">
        <f>'IR gap and ∆NII - detailed calc'!B81</f>
        <v>0</v>
      </c>
      <c r="C17" s="109" t="str">
        <f>'IR gap and ∆NII - detailed calc'!C81</f>
        <v>Cumulutive interest rate gap</v>
      </c>
      <c r="D17" s="110">
        <f>'IR gap and ∆NII - detailed calc'!D81</f>
        <v>162.89930086358669</v>
      </c>
      <c r="E17" s="110">
        <f>'IR gap and ∆NII - detailed calc'!E81</f>
        <v>-4507.0507331110957</v>
      </c>
      <c r="F17" s="110">
        <f>'IR gap and ∆NII - detailed calc'!F81</f>
        <v>-4001.0794414222164</v>
      </c>
      <c r="G17" s="110">
        <f>'IR gap and ∆NII - detailed calc'!G81</f>
        <v>-3481.5916694955959</v>
      </c>
      <c r="H17" s="112">
        <f>'IR gap and ∆NII - detailed calc'!H81</f>
        <v>-2948.0741870728316</v>
      </c>
      <c r="I17" s="110">
        <f>'IR gap and ∆NII - detailed calc'!I81</f>
        <v>-3106.4909711478522</v>
      </c>
      <c r="J17" s="110">
        <f>'IR gap and ∆NII - detailed calc'!J81</f>
        <v>2999.9999999999409</v>
      </c>
      <c r="K17" s="110">
        <f>'IR gap and ∆NII - detailed calc'!K81</f>
        <v>4199.9999999999409</v>
      </c>
      <c r="L17" s="110">
        <f>'IR gap and ∆NII - detailed calc'!L81</f>
        <v>5999.9999999999409</v>
      </c>
      <c r="M17" s="110">
        <f>'IR gap and ∆NII - detailed calc'!M81</f>
        <v>-5.9117155615240335E-11</v>
      </c>
      <c r="N17" s="113"/>
      <c r="O17" s="114"/>
      <c r="P17" s="114"/>
      <c r="Q17" s="114"/>
      <c r="R17" s="114"/>
      <c r="S17" s="114"/>
    </row>
    <row r="18" spans="2:19" x14ac:dyDescent="0.2">
      <c r="B18" s="114"/>
      <c r="C18" s="114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14"/>
      <c r="Q18" s="114"/>
      <c r="R18" s="114"/>
      <c r="S18" s="114"/>
    </row>
    <row r="19" spans="2:19" x14ac:dyDescent="0.2"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40" spans="2:5" x14ac:dyDescent="0.2">
      <c r="B40" s="77" t="s">
        <v>89</v>
      </c>
      <c r="C40" s="77" t="s">
        <v>90</v>
      </c>
    </row>
    <row r="42" spans="2:5" x14ac:dyDescent="0.2">
      <c r="C42" s="1" t="s">
        <v>164</v>
      </c>
    </row>
    <row r="43" spans="2:5" x14ac:dyDescent="0.2">
      <c r="C43" s="1" t="s">
        <v>100</v>
      </c>
    </row>
    <row r="44" spans="2:5" x14ac:dyDescent="0.2">
      <c r="C44" s="1" t="s">
        <v>91</v>
      </c>
      <c r="D44" s="102">
        <v>4000</v>
      </c>
      <c r="E44" s="1" t="s">
        <v>92</v>
      </c>
    </row>
    <row r="45" spans="2:5" x14ac:dyDescent="0.2">
      <c r="C45" s="1" t="s">
        <v>95</v>
      </c>
      <c r="D45" s="1" t="s">
        <v>13</v>
      </c>
    </row>
    <row r="46" spans="2:5" x14ac:dyDescent="0.2">
      <c r="C46" s="1" t="s">
        <v>96</v>
      </c>
      <c r="D46" s="1" t="s">
        <v>97</v>
      </c>
    </row>
    <row r="48" spans="2:5" x14ac:dyDescent="0.2">
      <c r="C48" s="1" t="s">
        <v>102</v>
      </c>
    </row>
    <row r="50" spans="2:13" x14ac:dyDescent="0.2">
      <c r="C50" s="1" t="s">
        <v>103</v>
      </c>
    </row>
    <row r="52" spans="2:13" x14ac:dyDescent="0.2">
      <c r="C52" s="77" t="s">
        <v>104</v>
      </c>
    </row>
    <row r="55" spans="2:13" x14ac:dyDescent="0.2">
      <c r="B55" s="77" t="s">
        <v>93</v>
      </c>
      <c r="C55" s="77" t="s">
        <v>94</v>
      </c>
    </row>
    <row r="57" spans="2:13" x14ac:dyDescent="0.2">
      <c r="C57" s="10" t="str">
        <f>'IR gap and ∆NII - detailed calc'!C122</f>
        <v>Metric</v>
      </c>
      <c r="D57" s="10" t="s">
        <v>0</v>
      </c>
      <c r="E57" s="10" t="s">
        <v>5</v>
      </c>
      <c r="F57" s="10" t="s">
        <v>6</v>
      </c>
      <c r="G57" s="10" t="s">
        <v>7</v>
      </c>
      <c r="H57" s="10" t="s">
        <v>8</v>
      </c>
      <c r="I57" s="10" t="s">
        <v>1</v>
      </c>
      <c r="J57" s="10" t="s">
        <v>2</v>
      </c>
      <c r="K57" s="10" t="s">
        <v>3</v>
      </c>
      <c r="L57" s="10" t="s">
        <v>4</v>
      </c>
      <c r="M57" s="10" t="s">
        <v>109</v>
      </c>
    </row>
    <row r="58" spans="2:13" ht="20.399999999999999" x14ac:dyDescent="0.2">
      <c r="C58" s="12" t="str">
        <f>'IR gap and ∆NII - detailed calc'!C123</f>
        <v>Number of month from current date to end date of interval</v>
      </c>
      <c r="D58" s="79">
        <f>'IR gap and ∆NII - detailed calc'!D123</f>
        <v>1</v>
      </c>
      <c r="E58" s="79">
        <f>'IR gap and ∆NII - detailed calc'!E123</f>
        <v>3</v>
      </c>
      <c r="F58" s="79">
        <f>'IR gap and ∆NII - detailed calc'!F123</f>
        <v>6</v>
      </c>
      <c r="G58" s="79">
        <f>'IR gap and ∆NII - detailed calc'!G123</f>
        <v>9</v>
      </c>
      <c r="H58" s="79">
        <f>'IR gap and ∆NII - detailed calc'!H123</f>
        <v>12</v>
      </c>
      <c r="I58" s="79">
        <f>'annuity example'!K17</f>
        <v>36</v>
      </c>
      <c r="J58" s="79">
        <f>'annuity example'!K18</f>
        <v>60</v>
      </c>
      <c r="K58" s="79">
        <f>'annuity example'!K19</f>
        <v>84</v>
      </c>
      <c r="L58" s="79">
        <f>'annuity example'!K20</f>
        <v>120</v>
      </c>
      <c r="M58" s="79">
        <f>'annuity example'!K21</f>
        <v>0</v>
      </c>
    </row>
    <row r="59" spans="2:13" x14ac:dyDescent="0.2">
      <c r="C59" s="11" t="s">
        <v>98</v>
      </c>
      <c r="D59" s="79">
        <f>D16</f>
        <v>162.89930086358669</v>
      </c>
      <c r="E59" s="79">
        <f t="shared" ref="E59:M59" si="0">E16</f>
        <v>-4669.9500339746828</v>
      </c>
      <c r="F59" s="79">
        <f t="shared" si="0"/>
        <v>505.97129168887943</v>
      </c>
      <c r="G59" s="79">
        <f t="shared" si="0"/>
        <v>519.48777192662067</v>
      </c>
      <c r="H59" s="79">
        <f t="shared" si="0"/>
        <v>533.51748242276403</v>
      </c>
      <c r="I59" s="79">
        <f t="shared" si="0"/>
        <v>-158.41678407502059</v>
      </c>
      <c r="J59" s="79">
        <f t="shared" si="0"/>
        <v>6106.4909711477931</v>
      </c>
      <c r="K59" s="79">
        <f t="shared" si="0"/>
        <v>1200</v>
      </c>
      <c r="L59" s="79">
        <f t="shared" si="0"/>
        <v>1800</v>
      </c>
      <c r="M59" s="79">
        <f t="shared" si="0"/>
        <v>-6000</v>
      </c>
    </row>
    <row r="60" spans="2:13" x14ac:dyDescent="0.2">
      <c r="C60" s="11" t="s">
        <v>99</v>
      </c>
      <c r="D60" s="79"/>
      <c r="E60" s="79">
        <f>D44</f>
        <v>4000</v>
      </c>
      <c r="F60" s="79"/>
      <c r="G60" s="79"/>
      <c r="H60" s="79"/>
      <c r="I60" s="107"/>
      <c r="J60" s="108">
        <v>-4000</v>
      </c>
      <c r="K60" s="107"/>
      <c r="L60" s="107"/>
      <c r="M60" s="107"/>
    </row>
    <row r="61" spans="2:13" x14ac:dyDescent="0.2">
      <c r="C61" s="11"/>
      <c r="D61" s="79"/>
      <c r="E61" s="79"/>
      <c r="F61" s="79"/>
      <c r="G61" s="79"/>
      <c r="H61" s="79"/>
      <c r="I61" s="107"/>
      <c r="J61" s="107"/>
      <c r="K61" s="107"/>
      <c r="L61" s="107"/>
      <c r="M61" s="107"/>
    </row>
    <row r="62" spans="2:13" x14ac:dyDescent="0.2">
      <c r="B62" s="141" t="s">
        <v>101</v>
      </c>
      <c r="C62" s="57" t="s">
        <v>53</v>
      </c>
      <c r="D62" s="82">
        <f>SUM(D59:D60)</f>
        <v>162.89930086358669</v>
      </c>
      <c r="E62" s="82">
        <f>SUM(E59:E60)</f>
        <v>-669.95003397468281</v>
      </c>
      <c r="F62" s="82">
        <f>SUM(F59:F60)</f>
        <v>505.97129168887943</v>
      </c>
      <c r="G62" s="82">
        <f>SUM(G59:G60)</f>
        <v>519.48777192662067</v>
      </c>
      <c r="H62" s="82">
        <f>SUM(H59:H60)</f>
        <v>533.51748242276403</v>
      </c>
      <c r="I62" s="82">
        <f t="shared" ref="I62:M62" si="1">SUM(I59:I60)</f>
        <v>-158.41678407502059</v>
      </c>
      <c r="J62" s="82">
        <f t="shared" si="1"/>
        <v>2106.4909711477931</v>
      </c>
      <c r="K62" s="82">
        <f t="shared" si="1"/>
        <v>1200</v>
      </c>
      <c r="L62" s="82">
        <f t="shared" si="1"/>
        <v>1800</v>
      </c>
      <c r="M62" s="82">
        <f t="shared" si="1"/>
        <v>-6000</v>
      </c>
    </row>
    <row r="63" spans="2:13" x14ac:dyDescent="0.2">
      <c r="B63" s="141" t="s">
        <v>101</v>
      </c>
      <c r="C63" s="57" t="s">
        <v>54</v>
      </c>
      <c r="D63" s="82">
        <f>SUM($D$62:D62)</f>
        <v>162.89930086358669</v>
      </c>
      <c r="E63" s="82">
        <f>SUM($D$62:E62)</f>
        <v>-507.05073311109612</v>
      </c>
      <c r="F63" s="82">
        <f>SUM($D$62:F62)</f>
        <v>-1.0794414222166893</v>
      </c>
      <c r="G63" s="82">
        <f>SUM($D$62:G62)</f>
        <v>518.40833050440392</v>
      </c>
      <c r="H63" s="82">
        <f>SUM($D$62:H62)</f>
        <v>1051.925812927168</v>
      </c>
      <c r="I63" s="82">
        <f>SUM($D$62:I62)</f>
        <v>893.50902885214737</v>
      </c>
      <c r="J63" s="82">
        <f>SUM($D$62:J62)</f>
        <v>2999.9999999999404</v>
      </c>
      <c r="K63" s="82">
        <f>SUM($D$62:K62)</f>
        <v>4199.99999999994</v>
      </c>
      <c r="L63" s="82">
        <f>SUM($D$62:L62)</f>
        <v>5999.99999999994</v>
      </c>
      <c r="M63" s="82">
        <f>SUM($D$62:M62)</f>
        <v>-6.0026650317013264E-11</v>
      </c>
    </row>
    <row r="64" spans="2:13" x14ac:dyDescent="0.2">
      <c r="C64" s="11"/>
      <c r="D64" s="79"/>
      <c r="E64" s="79"/>
      <c r="F64" s="79"/>
      <c r="G64" s="79"/>
      <c r="H64" s="79"/>
      <c r="I64" s="107"/>
      <c r="J64" s="107"/>
      <c r="K64" s="107"/>
      <c r="L64" s="107"/>
      <c r="M64" s="107"/>
    </row>
    <row r="65" spans="3:13" ht="51" x14ac:dyDescent="0.2">
      <c r="C65" s="56" t="str">
        <f>'IR gap and ∆NII - detailed calc'!C125</f>
        <v>average amount of month for which new rate would be applied, we make an assumption that expiration is in the middle of the range</v>
      </c>
      <c r="D65" s="81">
        <f>(D58+0)/2</f>
        <v>0.5</v>
      </c>
      <c r="E65" s="81">
        <f>(E58+D58)/2</f>
        <v>2</v>
      </c>
      <c r="F65" s="81">
        <f>(F58+E58)/2</f>
        <v>4.5</v>
      </c>
      <c r="G65" s="81">
        <f>(G58+F58)/2</f>
        <v>7.5</v>
      </c>
      <c r="H65" s="81">
        <f>(H58+G58)/2</f>
        <v>10.5</v>
      </c>
      <c r="I65" s="107"/>
      <c r="J65" s="107"/>
      <c r="K65" s="107"/>
      <c r="L65" s="107"/>
      <c r="M65" s="107"/>
    </row>
    <row r="66" spans="3:13" x14ac:dyDescent="0.2">
      <c r="C66" s="57" t="str">
        <f>'IR gap and ∆NII - detailed calc'!C126</f>
        <v>Sensitivity calc per tenor =&gt; (PL effect)</v>
      </c>
      <c r="D66" s="82">
        <f>D62*'IR gap and ∆NII - detailed calc'!$G$116*((12-D65)/12)</f>
        <v>1.5611182999427058</v>
      </c>
      <c r="E66" s="82">
        <f>E62*'IR gap and ∆NII - detailed calc'!$G$116*((12-E65)/12)</f>
        <v>-5.5829169497890243</v>
      </c>
      <c r="F66" s="82">
        <f>F62*'IR gap and ∆NII - detailed calc'!$G$116*((12-F65)/12)</f>
        <v>3.1623205730554966</v>
      </c>
      <c r="G66" s="82">
        <f>G62*'IR gap and ∆NII - detailed calc'!$G$116*((12-G65)/12)</f>
        <v>1.9480791447248276</v>
      </c>
      <c r="H66" s="82">
        <f>H62*'IR gap and ∆NII - detailed calc'!$G$116*((12-H65)/12)</f>
        <v>0.66689685302845503</v>
      </c>
      <c r="I66" s="107"/>
      <c r="J66" s="107"/>
      <c r="K66" s="107"/>
      <c r="L66" s="107"/>
      <c r="M66" s="107"/>
    </row>
    <row r="67" spans="3:13" ht="10.8" thickBot="1" x14ac:dyDescent="0.25">
      <c r="C67" s="103"/>
      <c r="D67" s="104"/>
    </row>
    <row r="68" spans="3:13" ht="10.8" thickBot="1" x14ac:dyDescent="0.25">
      <c r="C68" s="76" t="s">
        <v>63</v>
      </c>
      <c r="D68" s="105">
        <f>SUM(D66:H66)</f>
        <v>1.7554979209624606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39940-7B09-4C14-A739-693F7598DD2A}">
  <dimension ref="A2:K72"/>
  <sheetViews>
    <sheetView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"/>
    </sheetView>
  </sheetViews>
  <sheetFormatPr defaultRowHeight="10.199999999999999" x14ac:dyDescent="0.2"/>
  <cols>
    <col min="1" max="1" width="11.33203125" style="1" bestFit="1" customWidth="1"/>
    <col min="2" max="2" width="13" style="1" customWidth="1"/>
    <col min="3" max="3" width="13.5546875" style="1" customWidth="1"/>
    <col min="4" max="6" width="12.44140625" style="1" customWidth="1"/>
    <col min="7" max="8" width="8.88671875" style="1"/>
    <col min="9" max="9" width="9.44140625" style="1" bestFit="1" customWidth="1"/>
    <col min="10" max="16384" width="8.88671875" style="1"/>
  </cols>
  <sheetData>
    <row r="2" spans="1:11" x14ac:dyDescent="0.2">
      <c r="B2" s="1" t="s">
        <v>21</v>
      </c>
      <c r="C2" s="1">
        <v>10000</v>
      </c>
    </row>
    <row r="3" spans="1:11" x14ac:dyDescent="0.2">
      <c r="B3" s="1" t="s">
        <v>15</v>
      </c>
      <c r="C3" s="2">
        <v>0.15</v>
      </c>
    </row>
    <row r="4" spans="1:11" x14ac:dyDescent="0.2">
      <c r="B4" s="1" t="s">
        <v>22</v>
      </c>
      <c r="C4" s="1">
        <v>5</v>
      </c>
      <c r="D4" s="1" t="s">
        <v>23</v>
      </c>
    </row>
    <row r="5" spans="1:11" x14ac:dyDescent="0.2">
      <c r="B5" s="1" t="s">
        <v>24</v>
      </c>
      <c r="C5" s="1">
        <v>12</v>
      </c>
      <c r="D5" s="1" t="s">
        <v>25</v>
      </c>
    </row>
    <row r="7" spans="1:11" x14ac:dyDescent="0.2">
      <c r="B7" s="1" t="s">
        <v>31</v>
      </c>
      <c r="C7" s="6">
        <f>(1+C3/12)-1</f>
        <v>1.2499999999999956E-2</v>
      </c>
    </row>
    <row r="8" spans="1:11" x14ac:dyDescent="0.2">
      <c r="B8" s="1" t="s">
        <v>29</v>
      </c>
      <c r="C8" s="4">
        <f>(C7*(1+C7)^(C4*C5))/((1+C7)^(C4*C5)-1)</f>
        <v>2.3789930086358668E-2</v>
      </c>
    </row>
    <row r="9" spans="1:11" x14ac:dyDescent="0.2">
      <c r="B9" s="1" t="s">
        <v>28</v>
      </c>
      <c r="C9" s="4">
        <f>C2*C8</f>
        <v>237.89930086358669</v>
      </c>
    </row>
    <row r="11" spans="1:11" s="9" customFormat="1" ht="20.399999999999999" x14ac:dyDescent="0.3">
      <c r="C11" s="15" t="s">
        <v>28</v>
      </c>
      <c r="D11" s="15" t="s">
        <v>27</v>
      </c>
      <c r="E11" s="15" t="s">
        <v>45</v>
      </c>
      <c r="F11" s="15" t="s">
        <v>26</v>
      </c>
      <c r="I11" s="15" t="s">
        <v>45</v>
      </c>
    </row>
    <row r="12" spans="1:11" x14ac:dyDescent="0.2">
      <c r="A12" s="1" t="s">
        <v>30</v>
      </c>
      <c r="B12" s="3">
        <v>43101</v>
      </c>
      <c r="C12" s="5"/>
      <c r="F12" s="1">
        <f>C2</f>
        <v>10000</v>
      </c>
      <c r="H12" s="10" t="s">
        <v>0</v>
      </c>
      <c r="I12" s="5">
        <f>SUMIFS(E:E,A:A,H12)</f>
        <v>112.8993008635867</v>
      </c>
      <c r="J12" s="1">
        <f>COUNTIFS(A:A,H12)</f>
        <v>1</v>
      </c>
      <c r="K12" s="1">
        <f>SUM($J$12:J12)</f>
        <v>1</v>
      </c>
    </row>
    <row r="13" spans="1:11" x14ac:dyDescent="0.2">
      <c r="A13" s="3" t="s">
        <v>0</v>
      </c>
      <c r="B13" s="3">
        <f>EOMONTH(B12,0)+1</f>
        <v>43132</v>
      </c>
      <c r="C13" s="5">
        <f>$C$9</f>
        <v>237.89930086358669</v>
      </c>
      <c r="D13" s="5">
        <f>1/12*($C$3)*F12</f>
        <v>124.99999999999999</v>
      </c>
      <c r="E13" s="5">
        <f>C13-D13</f>
        <v>112.8993008635867</v>
      </c>
      <c r="F13" s="5">
        <f>F12-E13</f>
        <v>9887.1006991364138</v>
      </c>
      <c r="H13" s="10" t="s">
        <v>5</v>
      </c>
      <c r="I13" s="5">
        <f t="shared" ref="I13:I18" si="0">SUMIFS(E:E,A:A,H13)</f>
        <v>230.04996602531781</v>
      </c>
      <c r="J13" s="1">
        <f t="shared" ref="J13:J18" si="1">COUNTIFS(A:A,H13)</f>
        <v>2</v>
      </c>
      <c r="K13" s="1">
        <f>SUM($J$12:J13)</f>
        <v>3</v>
      </c>
    </row>
    <row r="14" spans="1:11" x14ac:dyDescent="0.2">
      <c r="A14" s="3" t="s">
        <v>5</v>
      </c>
      <c r="B14" s="3">
        <f t="shared" ref="B14:B72" si="2">EOMONTH(B13,0)+1</f>
        <v>43160</v>
      </c>
      <c r="C14" s="5">
        <f t="shared" ref="C14:C72" si="3">$C$9</f>
        <v>237.89930086358669</v>
      </c>
      <c r="D14" s="5">
        <f t="shared" ref="D14:D48" si="4">1/12*($C$3)*F13</f>
        <v>123.58875873920516</v>
      </c>
      <c r="E14" s="5">
        <f t="shared" ref="E14:E72" si="5">C14-D14</f>
        <v>114.31054212438153</v>
      </c>
      <c r="F14" s="5">
        <f t="shared" ref="F14:F72" si="6">F13-E14</f>
        <v>9772.7901570120321</v>
      </c>
      <c r="H14" s="10" t="s">
        <v>6</v>
      </c>
      <c r="I14" s="5">
        <f t="shared" si="0"/>
        <v>355.97129168887943</v>
      </c>
      <c r="J14" s="1">
        <f t="shared" si="1"/>
        <v>3</v>
      </c>
      <c r="K14" s="1">
        <f>SUM($J$12:J14)</f>
        <v>6</v>
      </c>
    </row>
    <row r="15" spans="1:11" x14ac:dyDescent="0.2">
      <c r="A15" s="3" t="s">
        <v>5</v>
      </c>
      <c r="B15" s="3">
        <f t="shared" si="2"/>
        <v>43191</v>
      </c>
      <c r="C15" s="5">
        <f t="shared" si="3"/>
        <v>237.89930086358669</v>
      </c>
      <c r="D15" s="5">
        <f t="shared" si="4"/>
        <v>122.15987696265039</v>
      </c>
      <c r="E15" s="5">
        <f t="shared" si="5"/>
        <v>115.7394239009363</v>
      </c>
      <c r="F15" s="5">
        <f t="shared" si="6"/>
        <v>9657.0507331110966</v>
      </c>
      <c r="H15" s="10" t="s">
        <v>7</v>
      </c>
      <c r="I15" s="5">
        <f t="shared" si="0"/>
        <v>369.48777192662067</v>
      </c>
      <c r="J15" s="1">
        <f t="shared" si="1"/>
        <v>3</v>
      </c>
      <c r="K15" s="1">
        <f>SUM($J$12:J15)</f>
        <v>9</v>
      </c>
    </row>
    <row r="16" spans="1:11" x14ac:dyDescent="0.2">
      <c r="A16" s="3" t="s">
        <v>6</v>
      </c>
      <c r="B16" s="3">
        <f t="shared" si="2"/>
        <v>43221</v>
      </c>
      <c r="C16" s="5">
        <f t="shared" si="3"/>
        <v>237.89930086358669</v>
      </c>
      <c r="D16" s="5">
        <f t="shared" si="4"/>
        <v>120.7131341638887</v>
      </c>
      <c r="E16" s="5">
        <f t="shared" si="5"/>
        <v>117.18616669969799</v>
      </c>
      <c r="F16" s="5">
        <f t="shared" si="6"/>
        <v>9539.8645664113992</v>
      </c>
      <c r="H16" s="10" t="s">
        <v>8</v>
      </c>
      <c r="I16" s="5">
        <f t="shared" si="0"/>
        <v>383.51748242276409</v>
      </c>
      <c r="J16" s="1">
        <f t="shared" si="1"/>
        <v>3</v>
      </c>
      <c r="K16" s="1">
        <f>SUM($J$12:J16)</f>
        <v>12</v>
      </c>
    </row>
    <row r="17" spans="1:11" x14ac:dyDescent="0.2">
      <c r="A17" s="3" t="s">
        <v>6</v>
      </c>
      <c r="B17" s="3">
        <f t="shared" si="2"/>
        <v>43252</v>
      </c>
      <c r="C17" s="5">
        <f t="shared" si="3"/>
        <v>237.89930086358669</v>
      </c>
      <c r="D17" s="5">
        <f t="shared" si="4"/>
        <v>119.24830708014248</v>
      </c>
      <c r="E17" s="5">
        <f t="shared" si="5"/>
        <v>118.65099378344421</v>
      </c>
      <c r="F17" s="5">
        <f t="shared" si="6"/>
        <v>9421.2135726279557</v>
      </c>
      <c r="H17" s="10" t="s">
        <v>1</v>
      </c>
      <c r="I17" s="5">
        <f t="shared" si="0"/>
        <v>3641.5832159249794</v>
      </c>
      <c r="J17" s="1">
        <f t="shared" si="1"/>
        <v>24</v>
      </c>
      <c r="K17" s="1">
        <f>SUM($J$12:J17)</f>
        <v>36</v>
      </c>
    </row>
    <row r="18" spans="1:11" x14ac:dyDescent="0.2">
      <c r="A18" s="3" t="s">
        <v>6</v>
      </c>
      <c r="B18" s="3">
        <f t="shared" si="2"/>
        <v>43282</v>
      </c>
      <c r="C18" s="5">
        <f t="shared" si="3"/>
        <v>237.89930086358669</v>
      </c>
      <c r="D18" s="5">
        <f t="shared" si="4"/>
        <v>117.76516965784944</v>
      </c>
      <c r="E18" s="5">
        <f t="shared" si="5"/>
        <v>120.13413120573725</v>
      </c>
      <c r="F18" s="5">
        <f t="shared" si="6"/>
        <v>9301.0794414222182</v>
      </c>
      <c r="H18" s="10" t="s">
        <v>2</v>
      </c>
      <c r="I18" s="5">
        <f t="shared" si="0"/>
        <v>4906.4909711477931</v>
      </c>
      <c r="J18" s="1">
        <f t="shared" si="1"/>
        <v>24</v>
      </c>
      <c r="K18" s="1">
        <f>SUM($J$12:J18)</f>
        <v>60</v>
      </c>
    </row>
    <row r="19" spans="1:11" x14ac:dyDescent="0.2">
      <c r="A19" s="3" t="s">
        <v>7</v>
      </c>
      <c r="B19" s="3">
        <f t="shared" si="2"/>
        <v>43313</v>
      </c>
      <c r="C19" s="5">
        <f t="shared" si="3"/>
        <v>237.89930086358669</v>
      </c>
      <c r="D19" s="5">
        <f t="shared" si="4"/>
        <v>116.26349301777772</v>
      </c>
      <c r="E19" s="5">
        <f t="shared" si="5"/>
        <v>121.63580784580897</v>
      </c>
      <c r="F19" s="5">
        <f t="shared" si="6"/>
        <v>9179.4436335764094</v>
      </c>
      <c r="H19" s="10" t="s">
        <v>3</v>
      </c>
      <c r="J19" s="1">
        <v>24</v>
      </c>
      <c r="K19" s="1">
        <f>SUM($J$12:J19)</f>
        <v>84</v>
      </c>
    </row>
    <row r="20" spans="1:11" x14ac:dyDescent="0.2">
      <c r="A20" s="3" t="s">
        <v>7</v>
      </c>
      <c r="B20" s="3">
        <f t="shared" si="2"/>
        <v>43344</v>
      </c>
      <c r="C20" s="5">
        <f t="shared" si="3"/>
        <v>237.89930086358669</v>
      </c>
      <c r="D20" s="5">
        <f t="shared" si="4"/>
        <v>114.74304541970511</v>
      </c>
      <c r="E20" s="5">
        <f t="shared" si="5"/>
        <v>123.15625544388158</v>
      </c>
      <c r="F20" s="5">
        <f t="shared" si="6"/>
        <v>9056.287378132527</v>
      </c>
      <c r="H20" s="10" t="s">
        <v>4</v>
      </c>
      <c r="J20" s="1">
        <v>36</v>
      </c>
      <c r="K20" s="1">
        <f>SUM($J$12:J20)</f>
        <v>120</v>
      </c>
    </row>
    <row r="21" spans="1:11" ht="20.399999999999999" x14ac:dyDescent="0.2">
      <c r="A21" s="3" t="s">
        <v>7</v>
      </c>
      <c r="B21" s="3">
        <f t="shared" si="2"/>
        <v>43374</v>
      </c>
      <c r="C21" s="5">
        <f t="shared" si="3"/>
        <v>237.89930086358669</v>
      </c>
      <c r="D21" s="5">
        <f t="shared" si="4"/>
        <v>113.20359222665658</v>
      </c>
      <c r="E21" s="5">
        <f t="shared" si="5"/>
        <v>124.69570863693011</v>
      </c>
      <c r="F21" s="5">
        <f t="shared" si="6"/>
        <v>8931.5916694955977</v>
      </c>
      <c r="H21" s="10" t="s">
        <v>9</v>
      </c>
    </row>
    <row r="22" spans="1:11" x14ac:dyDescent="0.2">
      <c r="A22" s="3" t="s">
        <v>8</v>
      </c>
      <c r="B22" s="3">
        <f t="shared" si="2"/>
        <v>43405</v>
      </c>
      <c r="C22" s="5">
        <f t="shared" si="3"/>
        <v>237.89930086358669</v>
      </c>
      <c r="D22" s="5">
        <f t="shared" si="4"/>
        <v>111.64489586869496</v>
      </c>
      <c r="E22" s="5">
        <f t="shared" si="5"/>
        <v>126.25440499489173</v>
      </c>
      <c r="F22" s="5">
        <f t="shared" si="6"/>
        <v>8805.3372645007057</v>
      </c>
    </row>
    <row r="23" spans="1:11" x14ac:dyDescent="0.2">
      <c r="A23" s="3" t="s">
        <v>8</v>
      </c>
      <c r="B23" s="3">
        <f t="shared" si="2"/>
        <v>43435</v>
      </c>
      <c r="C23" s="5">
        <f t="shared" si="3"/>
        <v>237.89930086358669</v>
      </c>
      <c r="D23" s="5">
        <f t="shared" si="4"/>
        <v>110.06671580625881</v>
      </c>
      <c r="E23" s="5">
        <f t="shared" si="5"/>
        <v>127.83258505732788</v>
      </c>
      <c r="F23" s="5">
        <f t="shared" si="6"/>
        <v>8677.5046794433783</v>
      </c>
    </row>
    <row r="24" spans="1:11" x14ac:dyDescent="0.2">
      <c r="A24" s="3" t="s">
        <v>8</v>
      </c>
      <c r="B24" s="3">
        <f t="shared" si="2"/>
        <v>43466</v>
      </c>
      <c r="C24" s="5">
        <f t="shared" si="3"/>
        <v>237.89930086358669</v>
      </c>
      <c r="D24" s="5">
        <f t="shared" si="4"/>
        <v>108.46880849304222</v>
      </c>
      <c r="E24" s="5">
        <f t="shared" si="5"/>
        <v>129.43049237054447</v>
      </c>
      <c r="F24" s="5">
        <f t="shared" si="6"/>
        <v>8548.0741870728343</v>
      </c>
    </row>
    <row r="25" spans="1:11" x14ac:dyDescent="0.2">
      <c r="A25" s="3" t="s">
        <v>1</v>
      </c>
      <c r="B25" s="3">
        <f t="shared" si="2"/>
        <v>43497</v>
      </c>
      <c r="C25" s="5">
        <f t="shared" si="3"/>
        <v>237.89930086358669</v>
      </c>
      <c r="D25" s="5">
        <f t="shared" si="4"/>
        <v>106.85092733841041</v>
      </c>
      <c r="E25" s="5">
        <f t="shared" si="5"/>
        <v>131.04837352517626</v>
      </c>
      <c r="F25" s="5">
        <f t="shared" si="6"/>
        <v>8417.0258135476579</v>
      </c>
    </row>
    <row r="26" spans="1:11" x14ac:dyDescent="0.2">
      <c r="A26" s="3" t="s">
        <v>1</v>
      </c>
      <c r="B26" s="3">
        <f t="shared" si="2"/>
        <v>43525</v>
      </c>
      <c r="C26" s="5">
        <f t="shared" si="3"/>
        <v>237.89930086358669</v>
      </c>
      <c r="D26" s="5">
        <f t="shared" si="4"/>
        <v>105.21282266934571</v>
      </c>
      <c r="E26" s="5">
        <f t="shared" si="5"/>
        <v>132.68647819424098</v>
      </c>
      <c r="F26" s="5">
        <f t="shared" si="6"/>
        <v>8284.3393353534175</v>
      </c>
    </row>
    <row r="27" spans="1:11" x14ac:dyDescent="0.2">
      <c r="A27" s="3" t="s">
        <v>1</v>
      </c>
      <c r="B27" s="3">
        <f t="shared" si="2"/>
        <v>43556</v>
      </c>
      <c r="C27" s="5">
        <f t="shared" si="3"/>
        <v>237.89930086358669</v>
      </c>
      <c r="D27" s="5">
        <f t="shared" si="4"/>
        <v>103.55424169191771</v>
      </c>
      <c r="E27" s="5">
        <f t="shared" si="5"/>
        <v>134.34505917166899</v>
      </c>
      <c r="F27" s="5">
        <f t="shared" si="6"/>
        <v>8149.9942761817483</v>
      </c>
    </row>
    <row r="28" spans="1:11" x14ac:dyDescent="0.2">
      <c r="A28" s="3" t="s">
        <v>1</v>
      </c>
      <c r="B28" s="3">
        <f t="shared" si="2"/>
        <v>43586</v>
      </c>
      <c r="C28" s="5">
        <f t="shared" si="3"/>
        <v>237.89930086358669</v>
      </c>
      <c r="D28" s="5">
        <f t="shared" si="4"/>
        <v>101.87492845227185</v>
      </c>
      <c r="E28" s="5">
        <f t="shared" si="5"/>
        <v>136.02437241131486</v>
      </c>
      <c r="F28" s="5">
        <f t="shared" si="6"/>
        <v>8013.9699037704331</v>
      </c>
    </row>
    <row r="29" spans="1:11" x14ac:dyDescent="0.2">
      <c r="A29" s="3" t="s">
        <v>1</v>
      </c>
      <c r="B29" s="3">
        <f t="shared" si="2"/>
        <v>43617</v>
      </c>
      <c r="C29" s="5">
        <f t="shared" si="3"/>
        <v>237.89930086358669</v>
      </c>
      <c r="D29" s="5">
        <f t="shared" si="4"/>
        <v>100.17462379713041</v>
      </c>
      <c r="E29" s="5">
        <f t="shared" si="5"/>
        <v>137.72467706645628</v>
      </c>
      <c r="F29" s="5">
        <f t="shared" si="6"/>
        <v>7876.2452267039771</v>
      </c>
    </row>
    <row r="30" spans="1:11" x14ac:dyDescent="0.2">
      <c r="A30" s="3" t="s">
        <v>1</v>
      </c>
      <c r="B30" s="3">
        <f t="shared" si="2"/>
        <v>43647</v>
      </c>
      <c r="C30" s="5">
        <f t="shared" si="3"/>
        <v>237.89930086358669</v>
      </c>
      <c r="D30" s="5">
        <f t="shared" si="4"/>
        <v>98.453065333799699</v>
      </c>
      <c r="E30" s="5">
        <f t="shared" si="5"/>
        <v>139.44623552978697</v>
      </c>
      <c r="F30" s="5">
        <f t="shared" si="6"/>
        <v>7736.7989911741897</v>
      </c>
    </row>
    <row r="31" spans="1:11" x14ac:dyDescent="0.2">
      <c r="A31" s="3" t="s">
        <v>1</v>
      </c>
      <c r="B31" s="3">
        <f t="shared" si="2"/>
        <v>43678</v>
      </c>
      <c r="C31" s="5">
        <f t="shared" si="3"/>
        <v>237.89930086358669</v>
      </c>
      <c r="D31" s="5">
        <f t="shared" si="4"/>
        <v>96.709987389677366</v>
      </c>
      <c r="E31" s="5">
        <f t="shared" si="5"/>
        <v>141.18931347390932</v>
      </c>
      <c r="F31" s="5">
        <f t="shared" si="6"/>
        <v>7595.6096777002804</v>
      </c>
    </row>
    <row r="32" spans="1:11" x14ac:dyDescent="0.2">
      <c r="A32" s="3" t="s">
        <v>1</v>
      </c>
      <c r="B32" s="3">
        <f t="shared" si="2"/>
        <v>43709</v>
      </c>
      <c r="C32" s="5">
        <f t="shared" si="3"/>
        <v>237.89930086358669</v>
      </c>
      <c r="D32" s="5">
        <f t="shared" si="4"/>
        <v>94.945120971253502</v>
      </c>
      <c r="E32" s="5">
        <f t="shared" si="5"/>
        <v>142.95417989233317</v>
      </c>
      <c r="F32" s="5">
        <f t="shared" si="6"/>
        <v>7452.6554978079475</v>
      </c>
    </row>
    <row r="33" spans="1:6" x14ac:dyDescent="0.2">
      <c r="A33" s="3" t="s">
        <v>1</v>
      </c>
      <c r="B33" s="3">
        <f t="shared" si="2"/>
        <v>43739</v>
      </c>
      <c r="C33" s="5">
        <f t="shared" si="3"/>
        <v>237.89930086358669</v>
      </c>
      <c r="D33" s="5">
        <f t="shared" si="4"/>
        <v>93.158193722599336</v>
      </c>
      <c r="E33" s="5">
        <f t="shared" si="5"/>
        <v>144.74110714098737</v>
      </c>
      <c r="F33" s="5">
        <f t="shared" si="6"/>
        <v>7307.9143906669606</v>
      </c>
    </row>
    <row r="34" spans="1:6" x14ac:dyDescent="0.2">
      <c r="A34" s="3" t="s">
        <v>1</v>
      </c>
      <c r="B34" s="3">
        <f t="shared" si="2"/>
        <v>43770</v>
      </c>
      <c r="C34" s="5">
        <f t="shared" si="3"/>
        <v>237.89930086358669</v>
      </c>
      <c r="D34" s="5">
        <f t="shared" si="4"/>
        <v>91.348929883336993</v>
      </c>
      <c r="E34" s="5">
        <f t="shared" si="5"/>
        <v>146.55037098024968</v>
      </c>
      <c r="F34" s="5">
        <f t="shared" si="6"/>
        <v>7161.3640196867109</v>
      </c>
    </row>
    <row r="35" spans="1:6" x14ac:dyDescent="0.2">
      <c r="A35" s="3" t="s">
        <v>1</v>
      </c>
      <c r="B35" s="3">
        <f t="shared" si="2"/>
        <v>43800</v>
      </c>
      <c r="C35" s="5">
        <f t="shared" si="3"/>
        <v>237.89930086358669</v>
      </c>
      <c r="D35" s="5">
        <f t="shared" si="4"/>
        <v>89.517050246083883</v>
      </c>
      <c r="E35" s="5">
        <f t="shared" si="5"/>
        <v>148.38225061750279</v>
      </c>
      <c r="F35" s="5">
        <f t="shared" si="6"/>
        <v>7012.981769069208</v>
      </c>
    </row>
    <row r="36" spans="1:6" x14ac:dyDescent="0.2">
      <c r="A36" s="3" t="s">
        <v>1</v>
      </c>
      <c r="B36" s="3">
        <f t="shared" si="2"/>
        <v>43831</v>
      </c>
      <c r="C36" s="5">
        <f t="shared" si="3"/>
        <v>237.89930086358669</v>
      </c>
      <c r="D36" s="5">
        <f t="shared" si="4"/>
        <v>87.662272113365091</v>
      </c>
      <c r="E36" s="5">
        <f t="shared" si="5"/>
        <v>150.23702875022161</v>
      </c>
      <c r="F36" s="5">
        <f t="shared" si="6"/>
        <v>6862.7447403189863</v>
      </c>
    </row>
    <row r="37" spans="1:6" x14ac:dyDescent="0.2">
      <c r="A37" s="3" t="s">
        <v>1</v>
      </c>
      <c r="B37" s="3">
        <f t="shared" si="2"/>
        <v>43862</v>
      </c>
      <c r="C37" s="5">
        <f t="shared" si="3"/>
        <v>237.89930086358669</v>
      </c>
      <c r="D37" s="5">
        <f t="shared" si="4"/>
        <v>85.784309253987317</v>
      </c>
      <c r="E37" s="5">
        <f t="shared" si="5"/>
        <v>152.11499160959937</v>
      </c>
      <c r="F37" s="5">
        <f t="shared" si="6"/>
        <v>6710.6297487093871</v>
      </c>
    </row>
    <row r="38" spans="1:6" x14ac:dyDescent="0.2">
      <c r="A38" s="3" t="s">
        <v>1</v>
      </c>
      <c r="B38" s="3">
        <f t="shared" si="2"/>
        <v>43891</v>
      </c>
      <c r="C38" s="5">
        <f t="shared" si="3"/>
        <v>237.89930086358669</v>
      </c>
      <c r="D38" s="5">
        <f t="shared" si="4"/>
        <v>83.882871858867333</v>
      </c>
      <c r="E38" s="5">
        <f t="shared" si="5"/>
        <v>154.01642900471936</v>
      </c>
      <c r="F38" s="5">
        <f t="shared" si="6"/>
        <v>6556.6133197046674</v>
      </c>
    </row>
    <row r="39" spans="1:6" x14ac:dyDescent="0.2">
      <c r="A39" s="3" t="s">
        <v>1</v>
      </c>
      <c r="B39" s="3">
        <f t="shared" si="2"/>
        <v>43922</v>
      </c>
      <c r="C39" s="5">
        <f t="shared" si="3"/>
        <v>237.89930086358669</v>
      </c>
      <c r="D39" s="5">
        <f t="shared" si="4"/>
        <v>81.957666496308335</v>
      </c>
      <c r="E39" s="5">
        <f t="shared" si="5"/>
        <v>155.94163436727837</v>
      </c>
      <c r="F39" s="5">
        <f t="shared" si="6"/>
        <v>6400.6716853373891</v>
      </c>
    </row>
    <row r="40" spans="1:6" x14ac:dyDescent="0.2">
      <c r="A40" s="3" t="s">
        <v>1</v>
      </c>
      <c r="B40" s="3">
        <f t="shared" si="2"/>
        <v>43952</v>
      </c>
      <c r="C40" s="5">
        <f t="shared" si="3"/>
        <v>237.89930086358669</v>
      </c>
      <c r="D40" s="5">
        <f t="shared" si="4"/>
        <v>80.008396066717353</v>
      </c>
      <c r="E40" s="5">
        <f t="shared" si="5"/>
        <v>157.89090479686934</v>
      </c>
      <c r="F40" s="5">
        <f t="shared" si="6"/>
        <v>6242.78078054052</v>
      </c>
    </row>
    <row r="41" spans="1:6" x14ac:dyDescent="0.2">
      <c r="A41" s="3" t="s">
        <v>1</v>
      </c>
      <c r="B41" s="3">
        <f t="shared" si="2"/>
        <v>43983</v>
      </c>
      <c r="C41" s="5">
        <f t="shared" si="3"/>
        <v>237.89930086358669</v>
      </c>
      <c r="D41" s="5">
        <f t="shared" si="4"/>
        <v>78.0347597567565</v>
      </c>
      <c r="E41" s="5">
        <f t="shared" si="5"/>
        <v>159.86454110683019</v>
      </c>
      <c r="F41" s="5">
        <f t="shared" si="6"/>
        <v>6082.91623943369</v>
      </c>
    </row>
    <row r="42" spans="1:6" x14ac:dyDescent="0.2">
      <c r="A42" s="3" t="s">
        <v>1</v>
      </c>
      <c r="B42" s="3">
        <f t="shared" si="2"/>
        <v>44013</v>
      </c>
      <c r="C42" s="5">
        <f t="shared" si="3"/>
        <v>237.89930086358669</v>
      </c>
      <c r="D42" s="5">
        <f t="shared" si="4"/>
        <v>76.036452992921113</v>
      </c>
      <c r="E42" s="5">
        <f t="shared" si="5"/>
        <v>161.86284787066558</v>
      </c>
      <c r="F42" s="5">
        <f t="shared" si="6"/>
        <v>5921.053391563024</v>
      </c>
    </row>
    <row r="43" spans="1:6" x14ac:dyDescent="0.2">
      <c r="A43" s="3" t="s">
        <v>1</v>
      </c>
      <c r="B43" s="3">
        <f t="shared" si="2"/>
        <v>44044</v>
      </c>
      <c r="C43" s="5">
        <f t="shared" si="3"/>
        <v>237.89930086358669</v>
      </c>
      <c r="D43" s="5">
        <f t="shared" si="4"/>
        <v>74.013167394537788</v>
      </c>
      <c r="E43" s="5">
        <f t="shared" si="5"/>
        <v>163.8861334690489</v>
      </c>
      <c r="F43" s="5">
        <f t="shared" si="6"/>
        <v>5757.1672580939749</v>
      </c>
    </row>
    <row r="44" spans="1:6" x14ac:dyDescent="0.2">
      <c r="A44" s="3" t="s">
        <v>1</v>
      </c>
      <c r="B44" s="3">
        <f t="shared" si="2"/>
        <v>44075</v>
      </c>
      <c r="C44" s="5">
        <f t="shared" si="3"/>
        <v>237.89930086358669</v>
      </c>
      <c r="D44" s="5">
        <f t="shared" si="4"/>
        <v>71.964590726174677</v>
      </c>
      <c r="E44" s="5">
        <f t="shared" si="5"/>
        <v>165.93471013741203</v>
      </c>
      <c r="F44" s="5">
        <f t="shared" si="6"/>
        <v>5591.2325479565625</v>
      </c>
    </row>
    <row r="45" spans="1:6" x14ac:dyDescent="0.2">
      <c r="A45" s="3" t="s">
        <v>1</v>
      </c>
      <c r="B45" s="3">
        <f t="shared" si="2"/>
        <v>44105</v>
      </c>
      <c r="C45" s="5">
        <f t="shared" si="3"/>
        <v>237.89930086358669</v>
      </c>
      <c r="D45" s="5">
        <f t="shared" si="4"/>
        <v>69.890406849457023</v>
      </c>
      <c r="E45" s="5">
        <f t="shared" si="5"/>
        <v>168.00889401412968</v>
      </c>
      <c r="F45" s="5">
        <f t="shared" si="6"/>
        <v>5423.223653942433</v>
      </c>
    </row>
    <row r="46" spans="1:6" x14ac:dyDescent="0.2">
      <c r="A46" s="3" t="s">
        <v>1</v>
      </c>
      <c r="B46" s="3">
        <f t="shared" si="2"/>
        <v>44136</v>
      </c>
      <c r="C46" s="5">
        <f t="shared" si="3"/>
        <v>237.89930086358669</v>
      </c>
      <c r="D46" s="5">
        <f t="shared" si="4"/>
        <v>67.790295674280401</v>
      </c>
      <c r="E46" s="5">
        <f t="shared" si="5"/>
        <v>170.10900518930629</v>
      </c>
      <c r="F46" s="5">
        <f t="shared" si="6"/>
        <v>5253.1146487531269</v>
      </c>
    </row>
    <row r="47" spans="1:6" x14ac:dyDescent="0.2">
      <c r="A47" s="3" t="s">
        <v>1</v>
      </c>
      <c r="B47" s="3">
        <f t="shared" si="2"/>
        <v>44166</v>
      </c>
      <c r="C47" s="5">
        <f t="shared" si="3"/>
        <v>237.89930086358669</v>
      </c>
      <c r="D47" s="5">
        <f t="shared" si="4"/>
        <v>65.663933109414074</v>
      </c>
      <c r="E47" s="5">
        <f t="shared" si="5"/>
        <v>172.23536775417261</v>
      </c>
      <c r="F47" s="5">
        <f t="shared" si="6"/>
        <v>5080.8792809989545</v>
      </c>
    </row>
    <row r="48" spans="1:6" x14ac:dyDescent="0.2">
      <c r="A48" s="3" t="s">
        <v>1</v>
      </c>
      <c r="B48" s="3">
        <f t="shared" si="2"/>
        <v>44197</v>
      </c>
      <c r="C48" s="5">
        <f t="shared" si="3"/>
        <v>237.89930086358669</v>
      </c>
      <c r="D48" s="5">
        <f t="shared" si="4"/>
        <v>63.510991012486926</v>
      </c>
      <c r="E48" s="5">
        <f t="shared" si="5"/>
        <v>174.38830985109976</v>
      </c>
      <c r="F48" s="5">
        <f t="shared" si="6"/>
        <v>4906.4909711478549</v>
      </c>
    </row>
    <row r="49" spans="1:6" x14ac:dyDescent="0.2">
      <c r="A49" s="3" t="s">
        <v>2</v>
      </c>
      <c r="B49" s="3">
        <f t="shared" si="2"/>
        <v>44228</v>
      </c>
      <c r="C49" s="5">
        <f t="shared" si="3"/>
        <v>237.89930086358669</v>
      </c>
      <c r="D49" s="5">
        <f t="shared" ref="D49:D72" si="7">1/12*($C$3)*F48</f>
        <v>61.331137139348179</v>
      </c>
      <c r="E49" s="5">
        <f t="shared" si="5"/>
        <v>176.5681637242385</v>
      </c>
      <c r="F49" s="5">
        <f t="shared" si="6"/>
        <v>4729.9228074236162</v>
      </c>
    </row>
    <row r="50" spans="1:6" x14ac:dyDescent="0.2">
      <c r="A50" s="3" t="s">
        <v>2</v>
      </c>
      <c r="B50" s="3">
        <f t="shared" si="2"/>
        <v>44256</v>
      </c>
      <c r="C50" s="5">
        <f t="shared" si="3"/>
        <v>237.89930086358669</v>
      </c>
      <c r="D50" s="5">
        <f t="shared" si="7"/>
        <v>59.124035092795197</v>
      </c>
      <c r="E50" s="5">
        <f t="shared" si="5"/>
        <v>178.77526577079149</v>
      </c>
      <c r="F50" s="5">
        <f t="shared" si="6"/>
        <v>4551.1475416528247</v>
      </c>
    </row>
    <row r="51" spans="1:6" x14ac:dyDescent="0.2">
      <c r="A51" s="3" t="s">
        <v>2</v>
      </c>
      <c r="B51" s="3">
        <f t="shared" si="2"/>
        <v>44287</v>
      </c>
      <c r="C51" s="5">
        <f t="shared" si="3"/>
        <v>237.89930086358669</v>
      </c>
      <c r="D51" s="5">
        <f t="shared" si="7"/>
        <v>56.889344270660303</v>
      </c>
      <c r="E51" s="5">
        <f t="shared" si="5"/>
        <v>181.00995659292639</v>
      </c>
      <c r="F51" s="5">
        <f t="shared" si="6"/>
        <v>4370.1375850598979</v>
      </c>
    </row>
    <row r="52" spans="1:6" x14ac:dyDescent="0.2">
      <c r="A52" s="3" t="s">
        <v>2</v>
      </c>
      <c r="B52" s="3">
        <f t="shared" si="2"/>
        <v>44317</v>
      </c>
      <c r="C52" s="5">
        <f t="shared" si="3"/>
        <v>237.89930086358669</v>
      </c>
      <c r="D52" s="5">
        <f t="shared" si="7"/>
        <v>54.62671981324872</v>
      </c>
      <c r="E52" s="5">
        <f t="shared" si="5"/>
        <v>183.27258105033798</v>
      </c>
      <c r="F52" s="5">
        <f t="shared" si="6"/>
        <v>4186.8650040095599</v>
      </c>
    </row>
    <row r="53" spans="1:6" x14ac:dyDescent="0.2">
      <c r="A53" s="3" t="s">
        <v>2</v>
      </c>
      <c r="B53" s="3">
        <f t="shared" si="2"/>
        <v>44348</v>
      </c>
      <c r="C53" s="5">
        <f t="shared" si="3"/>
        <v>237.89930086358669</v>
      </c>
      <c r="D53" s="5">
        <f t="shared" si="7"/>
        <v>52.335812550119492</v>
      </c>
      <c r="E53" s="5">
        <f t="shared" si="5"/>
        <v>185.56348831346719</v>
      </c>
      <c r="F53" s="5">
        <f t="shared" si="6"/>
        <v>4001.3015156960928</v>
      </c>
    </row>
    <row r="54" spans="1:6" x14ac:dyDescent="0.2">
      <c r="A54" s="3" t="s">
        <v>2</v>
      </c>
      <c r="B54" s="3">
        <f t="shared" si="2"/>
        <v>44378</v>
      </c>
      <c r="C54" s="5">
        <f t="shared" si="3"/>
        <v>237.89930086358669</v>
      </c>
      <c r="D54" s="5">
        <f t="shared" si="7"/>
        <v>50.016268946201158</v>
      </c>
      <c r="E54" s="5">
        <f t="shared" si="5"/>
        <v>187.88303191738552</v>
      </c>
      <c r="F54" s="5">
        <f t="shared" si="6"/>
        <v>3813.4184837787075</v>
      </c>
    </row>
    <row r="55" spans="1:6" x14ac:dyDescent="0.2">
      <c r="A55" s="3" t="s">
        <v>2</v>
      </c>
      <c r="B55" s="3">
        <f t="shared" si="2"/>
        <v>44409</v>
      </c>
      <c r="C55" s="5">
        <f t="shared" si="3"/>
        <v>237.89930086358669</v>
      </c>
      <c r="D55" s="5">
        <f t="shared" si="7"/>
        <v>47.667731047233836</v>
      </c>
      <c r="E55" s="5">
        <f t="shared" si="5"/>
        <v>190.23156981635285</v>
      </c>
      <c r="F55" s="5">
        <f t="shared" si="6"/>
        <v>3623.1869139623545</v>
      </c>
    </row>
    <row r="56" spans="1:6" x14ac:dyDescent="0.2">
      <c r="A56" s="3" t="s">
        <v>2</v>
      </c>
      <c r="B56" s="3">
        <f t="shared" si="2"/>
        <v>44440</v>
      </c>
      <c r="C56" s="5">
        <f t="shared" si="3"/>
        <v>237.89930086358669</v>
      </c>
      <c r="D56" s="5">
        <f t="shared" si="7"/>
        <v>45.289836424529426</v>
      </c>
      <c r="E56" s="5">
        <f t="shared" si="5"/>
        <v>192.60946443905726</v>
      </c>
      <c r="F56" s="5">
        <f t="shared" si="6"/>
        <v>3430.5774495232972</v>
      </c>
    </row>
    <row r="57" spans="1:6" x14ac:dyDescent="0.2">
      <c r="A57" s="3" t="s">
        <v>2</v>
      </c>
      <c r="B57" s="3">
        <f t="shared" si="2"/>
        <v>44470</v>
      </c>
      <c r="C57" s="5">
        <f t="shared" si="3"/>
        <v>237.89930086358669</v>
      </c>
      <c r="D57" s="5">
        <f t="shared" si="7"/>
        <v>42.882218119041212</v>
      </c>
      <c r="E57" s="5">
        <f t="shared" si="5"/>
        <v>195.01708274454546</v>
      </c>
      <c r="F57" s="5">
        <f t="shared" si="6"/>
        <v>3235.5603667787518</v>
      </c>
    </row>
    <row r="58" spans="1:6" x14ac:dyDescent="0.2">
      <c r="A58" s="3" t="s">
        <v>2</v>
      </c>
      <c r="B58" s="3">
        <f t="shared" si="2"/>
        <v>44501</v>
      </c>
      <c r="C58" s="5">
        <f t="shared" si="3"/>
        <v>237.89930086358669</v>
      </c>
      <c r="D58" s="5">
        <f t="shared" si="7"/>
        <v>40.444504584734396</v>
      </c>
      <c r="E58" s="5">
        <f t="shared" si="5"/>
        <v>197.45479627885229</v>
      </c>
      <c r="F58" s="5">
        <f t="shared" si="6"/>
        <v>3038.1055704998994</v>
      </c>
    </row>
    <row r="59" spans="1:6" x14ac:dyDescent="0.2">
      <c r="A59" s="3" t="s">
        <v>2</v>
      </c>
      <c r="B59" s="3">
        <f t="shared" si="2"/>
        <v>44531</v>
      </c>
      <c r="C59" s="5">
        <f t="shared" si="3"/>
        <v>237.89930086358669</v>
      </c>
      <c r="D59" s="5">
        <f t="shared" si="7"/>
        <v>37.976319631248742</v>
      </c>
      <c r="E59" s="5">
        <f t="shared" si="5"/>
        <v>199.92298123233795</v>
      </c>
      <c r="F59" s="5">
        <f t="shared" si="6"/>
        <v>2838.1825892675615</v>
      </c>
    </row>
    <row r="60" spans="1:6" x14ac:dyDescent="0.2">
      <c r="A60" s="3" t="s">
        <v>2</v>
      </c>
      <c r="B60" s="3">
        <f t="shared" si="2"/>
        <v>44562</v>
      </c>
      <c r="C60" s="5">
        <f t="shared" si="3"/>
        <v>237.89930086358669</v>
      </c>
      <c r="D60" s="5">
        <f t="shared" si="7"/>
        <v>35.477282365844516</v>
      </c>
      <c r="E60" s="5">
        <f t="shared" si="5"/>
        <v>202.42201849774216</v>
      </c>
      <c r="F60" s="5">
        <f t="shared" si="6"/>
        <v>2635.7605707698194</v>
      </c>
    </row>
    <row r="61" spans="1:6" x14ac:dyDescent="0.2">
      <c r="A61" s="3" t="s">
        <v>2</v>
      </c>
      <c r="B61" s="3">
        <f t="shared" si="2"/>
        <v>44593</v>
      </c>
      <c r="C61" s="5">
        <f t="shared" si="3"/>
        <v>237.89930086358669</v>
      </c>
      <c r="D61" s="5">
        <f t="shared" si="7"/>
        <v>32.947007134622737</v>
      </c>
      <c r="E61" s="5">
        <f t="shared" si="5"/>
        <v>204.95229372896395</v>
      </c>
      <c r="F61" s="5">
        <f t="shared" si="6"/>
        <v>2430.8082770408555</v>
      </c>
    </row>
    <row r="62" spans="1:6" x14ac:dyDescent="0.2">
      <c r="A62" s="3" t="s">
        <v>2</v>
      </c>
      <c r="B62" s="3">
        <f t="shared" si="2"/>
        <v>44621</v>
      </c>
      <c r="C62" s="5">
        <f t="shared" si="3"/>
        <v>237.89930086358669</v>
      </c>
      <c r="D62" s="5">
        <f t="shared" si="7"/>
        <v>30.38510346301069</v>
      </c>
      <c r="E62" s="5">
        <f t="shared" si="5"/>
        <v>207.51419740057599</v>
      </c>
      <c r="F62" s="5">
        <f t="shared" si="6"/>
        <v>2223.2940796402795</v>
      </c>
    </row>
    <row r="63" spans="1:6" x14ac:dyDescent="0.2">
      <c r="A63" s="3" t="s">
        <v>2</v>
      </c>
      <c r="B63" s="3">
        <f t="shared" si="2"/>
        <v>44652</v>
      </c>
      <c r="C63" s="5">
        <f t="shared" si="3"/>
        <v>237.89930086358669</v>
      </c>
      <c r="D63" s="5">
        <f t="shared" si="7"/>
        <v>27.79117599550349</v>
      </c>
      <c r="E63" s="5">
        <f t="shared" si="5"/>
        <v>210.10812486808319</v>
      </c>
      <c r="F63" s="5">
        <f t="shared" si="6"/>
        <v>2013.1859547721963</v>
      </c>
    </row>
    <row r="64" spans="1:6" x14ac:dyDescent="0.2">
      <c r="A64" s="3" t="s">
        <v>2</v>
      </c>
      <c r="B64" s="3">
        <f t="shared" si="2"/>
        <v>44682</v>
      </c>
      <c r="C64" s="5">
        <f t="shared" si="3"/>
        <v>237.89930086358669</v>
      </c>
      <c r="D64" s="5">
        <f t="shared" si="7"/>
        <v>25.164824434652452</v>
      </c>
      <c r="E64" s="5">
        <f t="shared" si="5"/>
        <v>212.73447642893424</v>
      </c>
      <c r="F64" s="5">
        <f t="shared" si="6"/>
        <v>1800.4514783432621</v>
      </c>
    </row>
    <row r="65" spans="1:6" x14ac:dyDescent="0.2">
      <c r="A65" s="3" t="s">
        <v>2</v>
      </c>
      <c r="B65" s="3">
        <f t="shared" si="2"/>
        <v>44713</v>
      </c>
      <c r="C65" s="5">
        <f t="shared" si="3"/>
        <v>237.89930086358669</v>
      </c>
      <c r="D65" s="5">
        <f t="shared" si="7"/>
        <v>22.505643479290775</v>
      </c>
      <c r="E65" s="5">
        <f t="shared" si="5"/>
        <v>215.39365738429592</v>
      </c>
      <c r="F65" s="5">
        <f t="shared" si="6"/>
        <v>1585.0578209589662</v>
      </c>
    </row>
    <row r="66" spans="1:6" x14ac:dyDescent="0.2">
      <c r="A66" s="3" t="s">
        <v>2</v>
      </c>
      <c r="B66" s="3">
        <f t="shared" si="2"/>
        <v>44743</v>
      </c>
      <c r="C66" s="5">
        <f t="shared" si="3"/>
        <v>237.89930086358669</v>
      </c>
      <c r="D66" s="5">
        <f t="shared" si="7"/>
        <v>19.813222761987078</v>
      </c>
      <c r="E66" s="5">
        <f t="shared" si="5"/>
        <v>218.08607810159961</v>
      </c>
      <c r="F66" s="5">
        <f t="shared" si="6"/>
        <v>1366.9717428573665</v>
      </c>
    </row>
    <row r="67" spans="1:6" x14ac:dyDescent="0.2">
      <c r="A67" s="3" t="s">
        <v>2</v>
      </c>
      <c r="B67" s="3">
        <f t="shared" si="2"/>
        <v>44774</v>
      </c>
      <c r="C67" s="5">
        <f t="shared" si="3"/>
        <v>237.89930086358669</v>
      </c>
      <c r="D67" s="5">
        <f t="shared" si="7"/>
        <v>17.087146785717081</v>
      </c>
      <c r="E67" s="5">
        <f t="shared" si="5"/>
        <v>220.81215407786959</v>
      </c>
      <c r="F67" s="5">
        <f t="shared" si="6"/>
        <v>1146.159588779497</v>
      </c>
    </row>
    <row r="68" spans="1:6" x14ac:dyDescent="0.2">
      <c r="A68" s="3" t="s">
        <v>2</v>
      </c>
      <c r="B68" s="3">
        <f t="shared" si="2"/>
        <v>44805</v>
      </c>
      <c r="C68" s="5">
        <f t="shared" si="3"/>
        <v>237.89930086358669</v>
      </c>
      <c r="D68" s="5">
        <f t="shared" si="7"/>
        <v>14.326994859743712</v>
      </c>
      <c r="E68" s="5">
        <f t="shared" si="5"/>
        <v>223.57230600384298</v>
      </c>
      <c r="F68" s="5">
        <f t="shared" si="6"/>
        <v>922.58728277565399</v>
      </c>
    </row>
    <row r="69" spans="1:6" x14ac:dyDescent="0.2">
      <c r="A69" s="3" t="s">
        <v>2</v>
      </c>
      <c r="B69" s="3">
        <f t="shared" si="2"/>
        <v>44835</v>
      </c>
      <c r="C69" s="5">
        <f t="shared" si="3"/>
        <v>237.89930086358669</v>
      </c>
      <c r="D69" s="5">
        <f t="shared" si="7"/>
        <v>11.532341034695675</v>
      </c>
      <c r="E69" s="5">
        <f t="shared" si="5"/>
        <v>226.36695982889103</v>
      </c>
      <c r="F69" s="5">
        <f t="shared" si="6"/>
        <v>696.22032294676296</v>
      </c>
    </row>
    <row r="70" spans="1:6" x14ac:dyDescent="0.2">
      <c r="A70" s="3" t="s">
        <v>2</v>
      </c>
      <c r="B70" s="3">
        <f t="shared" si="2"/>
        <v>44866</v>
      </c>
      <c r="C70" s="5">
        <f t="shared" si="3"/>
        <v>237.89930086358669</v>
      </c>
      <c r="D70" s="5">
        <f t="shared" si="7"/>
        <v>8.702754036834536</v>
      </c>
      <c r="E70" s="5">
        <f t="shared" si="5"/>
        <v>229.19654682675215</v>
      </c>
      <c r="F70" s="5">
        <f t="shared" si="6"/>
        <v>467.02377612001078</v>
      </c>
    </row>
    <row r="71" spans="1:6" x14ac:dyDescent="0.2">
      <c r="A71" s="3" t="s">
        <v>2</v>
      </c>
      <c r="B71" s="3">
        <f t="shared" si="2"/>
        <v>44896</v>
      </c>
      <c r="C71" s="5">
        <f t="shared" si="3"/>
        <v>237.89930086358669</v>
      </c>
      <c r="D71" s="5">
        <f t="shared" si="7"/>
        <v>5.837797201500134</v>
      </c>
      <c r="E71" s="5">
        <f t="shared" si="5"/>
        <v>232.06150366208655</v>
      </c>
      <c r="F71" s="5">
        <f t="shared" si="6"/>
        <v>234.96227245792423</v>
      </c>
    </row>
    <row r="72" spans="1:6" x14ac:dyDescent="0.2">
      <c r="A72" s="3" t="s">
        <v>2</v>
      </c>
      <c r="B72" s="3">
        <f t="shared" si="2"/>
        <v>44927</v>
      </c>
      <c r="C72" s="5">
        <f t="shared" si="3"/>
        <v>237.89930086358669</v>
      </c>
      <c r="D72" s="5">
        <f t="shared" si="7"/>
        <v>2.9370284057240528</v>
      </c>
      <c r="E72" s="5">
        <f t="shared" si="5"/>
        <v>234.96227245786264</v>
      </c>
      <c r="F72" s="5">
        <f t="shared" si="6"/>
        <v>6.1589844335685484E-11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7CFD-B837-443A-8439-123A46445515}">
  <dimension ref="B2:Q233"/>
  <sheetViews>
    <sheetView showGridLines="0" showRowColHeaders="0" topLeftCell="A163" zoomScaleNormal="100" workbookViewId="0">
      <selection activeCell="G178" sqref="G178"/>
    </sheetView>
  </sheetViews>
  <sheetFormatPr defaultRowHeight="10.199999999999999" x14ac:dyDescent="0.2"/>
  <cols>
    <col min="1" max="2" width="8.88671875" style="1"/>
    <col min="3" max="3" width="10" style="1" customWidth="1"/>
    <col min="4" max="4" width="8.88671875" style="1" customWidth="1"/>
    <col min="5" max="16384" width="8.88671875" style="1"/>
  </cols>
  <sheetData>
    <row r="2" spans="2:14" s="78" customFormat="1" x14ac:dyDescent="0.2">
      <c r="B2" s="78" t="s">
        <v>53</v>
      </c>
    </row>
    <row r="4" spans="2:14" ht="20.399999999999999" x14ac:dyDescent="0.2">
      <c r="B4" s="10" t="s">
        <v>11</v>
      </c>
      <c r="C4" s="10" t="s">
        <v>10</v>
      </c>
      <c r="D4" s="10" t="s">
        <v>0</v>
      </c>
      <c r="E4" s="10" t="s">
        <v>110</v>
      </c>
      <c r="F4" s="10" t="s">
        <v>111</v>
      </c>
      <c r="G4" s="10" t="s">
        <v>112</v>
      </c>
      <c r="H4" s="10" t="s">
        <v>113</v>
      </c>
      <c r="I4" s="10" t="s">
        <v>114</v>
      </c>
      <c r="J4" s="10" t="s">
        <v>115</v>
      </c>
      <c r="K4" s="10" t="s">
        <v>116</v>
      </c>
      <c r="L4" s="10" t="s">
        <v>117</v>
      </c>
      <c r="M4" s="10" t="s">
        <v>109</v>
      </c>
      <c r="N4" s="10" t="s">
        <v>43</v>
      </c>
    </row>
    <row r="5" spans="2:14" ht="20.399999999999999" x14ac:dyDescent="0.2">
      <c r="B5" s="11">
        <v>1</v>
      </c>
      <c r="C5" s="12" t="s">
        <v>12</v>
      </c>
      <c r="D5" s="79">
        <v>0</v>
      </c>
      <c r="E5" s="79">
        <v>10000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  <c r="L5" s="79">
        <v>0</v>
      </c>
      <c r="M5" s="79">
        <v>0</v>
      </c>
      <c r="N5" s="12"/>
    </row>
    <row r="6" spans="2:14" ht="20.399999999999999" x14ac:dyDescent="0.2">
      <c r="B6" s="11">
        <v>2</v>
      </c>
      <c r="C6" s="13" t="s">
        <v>19</v>
      </c>
      <c r="D6" s="79">
        <v>112.8993008635867</v>
      </c>
      <c r="E6" s="79">
        <v>230.04996602531781</v>
      </c>
      <c r="F6" s="79">
        <v>355.97129168887943</v>
      </c>
      <c r="G6" s="79">
        <v>369.48777192662067</v>
      </c>
      <c r="H6" s="79">
        <v>383.51748242276409</v>
      </c>
      <c r="I6" s="79">
        <v>3641.5832159249794</v>
      </c>
      <c r="J6" s="79">
        <v>4906.4909711477931</v>
      </c>
      <c r="K6" s="79">
        <v>0</v>
      </c>
      <c r="L6" s="79">
        <v>0</v>
      </c>
      <c r="M6" s="79">
        <v>0</v>
      </c>
      <c r="N6" s="12"/>
    </row>
    <row r="7" spans="2:14" ht="20.399999999999999" x14ac:dyDescent="0.2">
      <c r="B7" s="11">
        <v>3</v>
      </c>
      <c r="C7" s="12" t="s">
        <v>12</v>
      </c>
      <c r="D7" s="79">
        <v>50</v>
      </c>
      <c r="E7" s="79">
        <v>100</v>
      </c>
      <c r="F7" s="79">
        <v>150</v>
      </c>
      <c r="G7" s="79">
        <v>150</v>
      </c>
      <c r="H7" s="79">
        <v>150</v>
      </c>
      <c r="I7" s="79">
        <v>1200</v>
      </c>
      <c r="J7" s="79">
        <v>1200</v>
      </c>
      <c r="K7" s="79">
        <v>1200</v>
      </c>
      <c r="L7" s="79">
        <v>1800</v>
      </c>
      <c r="M7" s="79">
        <v>0</v>
      </c>
      <c r="N7" s="12"/>
    </row>
    <row r="8" spans="2:14" ht="20.399999999999999" x14ac:dyDescent="0.2">
      <c r="B8" s="11">
        <v>4</v>
      </c>
      <c r="C8" s="13" t="s">
        <v>34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10000</v>
      </c>
      <c r="N8" s="12"/>
    </row>
    <row r="9" spans="2:14" ht="20.399999999999999" x14ac:dyDescent="0.2">
      <c r="B9" s="11">
        <v>5</v>
      </c>
      <c r="C9" s="13" t="s">
        <v>33</v>
      </c>
      <c r="D9" s="79">
        <v>0</v>
      </c>
      <c r="E9" s="79">
        <v>-15000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12"/>
    </row>
    <row r="10" spans="2:14" ht="61.2" x14ac:dyDescent="0.2">
      <c r="B10" s="11">
        <v>6</v>
      </c>
      <c r="C10" s="12" t="s">
        <v>36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-5000</v>
      </c>
      <c r="N10" s="12"/>
    </row>
    <row r="11" spans="2:14" ht="30.6" x14ac:dyDescent="0.2">
      <c r="B11" s="11">
        <v>7</v>
      </c>
      <c r="C11" s="12" t="s">
        <v>38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-6000</v>
      </c>
      <c r="N11" s="12"/>
    </row>
    <row r="12" spans="2:14" ht="30.6" x14ac:dyDescent="0.2">
      <c r="B12" s="11">
        <v>8</v>
      </c>
      <c r="C12" s="14" t="s">
        <v>39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-5000</v>
      </c>
      <c r="J12" s="79">
        <v>0</v>
      </c>
      <c r="K12" s="79">
        <v>0</v>
      </c>
      <c r="L12" s="79">
        <v>0</v>
      </c>
      <c r="M12" s="79">
        <v>0</v>
      </c>
      <c r="N12" s="12"/>
    </row>
    <row r="13" spans="2:14" x14ac:dyDescent="0.2">
      <c r="B13" s="11">
        <v>9</v>
      </c>
      <c r="C13" s="14" t="s">
        <v>42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-5000</v>
      </c>
      <c r="N13" s="12"/>
    </row>
    <row r="14" spans="2:14" x14ac:dyDescent="0.2">
      <c r="B14" s="109"/>
      <c r="C14" s="109" t="s">
        <v>53</v>
      </c>
      <c r="D14" s="110">
        <f>SUM(D5:D13)</f>
        <v>162.89930086358669</v>
      </c>
      <c r="E14" s="110">
        <f t="shared" ref="E14:M14" si="0">SUM(E5:E13)</f>
        <v>-4669.9500339746828</v>
      </c>
      <c r="F14" s="110">
        <f t="shared" si="0"/>
        <v>505.97129168887943</v>
      </c>
      <c r="G14" s="110">
        <f t="shared" si="0"/>
        <v>519.48777192662067</v>
      </c>
      <c r="H14" s="110">
        <f t="shared" si="0"/>
        <v>533.51748242276403</v>
      </c>
      <c r="I14" s="110">
        <f t="shared" si="0"/>
        <v>-158.41678407502059</v>
      </c>
      <c r="J14" s="110">
        <f t="shared" si="0"/>
        <v>6106.4909711477931</v>
      </c>
      <c r="K14" s="110">
        <f t="shared" si="0"/>
        <v>1200</v>
      </c>
      <c r="L14" s="110">
        <f t="shared" si="0"/>
        <v>1800</v>
      </c>
      <c r="M14" s="110">
        <f t="shared" si="0"/>
        <v>-6000</v>
      </c>
      <c r="N14" s="111"/>
    </row>
    <row r="15" spans="2:14" x14ac:dyDescent="0.2">
      <c r="B15" s="109"/>
      <c r="C15" s="109" t="s">
        <v>107</v>
      </c>
      <c r="D15" s="110">
        <f>SUM(D5:D8)</f>
        <v>162.89930086358669</v>
      </c>
      <c r="E15" s="110">
        <f t="shared" ref="E15:M15" si="1">SUM(E5:E8)</f>
        <v>10330.049966025317</v>
      </c>
      <c r="F15" s="110">
        <f t="shared" si="1"/>
        <v>505.97129168887943</v>
      </c>
      <c r="G15" s="110">
        <f t="shared" si="1"/>
        <v>519.48777192662067</v>
      </c>
      <c r="H15" s="110">
        <f t="shared" si="1"/>
        <v>533.51748242276403</v>
      </c>
      <c r="I15" s="110">
        <f t="shared" si="1"/>
        <v>4841.5832159249794</v>
      </c>
      <c r="J15" s="110">
        <f t="shared" si="1"/>
        <v>6106.4909711477931</v>
      </c>
      <c r="K15" s="110">
        <f t="shared" si="1"/>
        <v>1200</v>
      </c>
      <c r="L15" s="110">
        <f t="shared" si="1"/>
        <v>1800</v>
      </c>
      <c r="M15" s="110">
        <f t="shared" si="1"/>
        <v>10000</v>
      </c>
      <c r="N15" s="111"/>
    </row>
    <row r="16" spans="2:14" x14ac:dyDescent="0.2">
      <c r="B16" s="109"/>
      <c r="C16" s="109" t="s">
        <v>108</v>
      </c>
      <c r="D16" s="110">
        <f>SUM(D9:D13)</f>
        <v>0</v>
      </c>
      <c r="E16" s="110">
        <f t="shared" ref="E16:M16" si="2">SUM(E9:E13)</f>
        <v>-15000</v>
      </c>
      <c r="F16" s="110">
        <f t="shared" si="2"/>
        <v>0</v>
      </c>
      <c r="G16" s="110">
        <f t="shared" si="2"/>
        <v>0</v>
      </c>
      <c r="H16" s="110">
        <f t="shared" si="2"/>
        <v>0</v>
      </c>
      <c r="I16" s="110">
        <f t="shared" si="2"/>
        <v>-5000</v>
      </c>
      <c r="J16" s="110">
        <f t="shared" si="2"/>
        <v>0</v>
      </c>
      <c r="K16" s="110">
        <f t="shared" si="2"/>
        <v>0</v>
      </c>
      <c r="L16" s="110">
        <f t="shared" si="2"/>
        <v>0</v>
      </c>
      <c r="M16" s="110">
        <f t="shared" si="2"/>
        <v>-16000</v>
      </c>
      <c r="N16" s="111"/>
    </row>
    <row r="17" spans="2:14" x14ac:dyDescent="0.2">
      <c r="B17" s="109"/>
      <c r="C17" s="109" t="s">
        <v>54</v>
      </c>
      <c r="D17" s="110">
        <v>162.89930086358669</v>
      </c>
      <c r="E17" s="110">
        <f>D17+E14</f>
        <v>-4507.0507331110957</v>
      </c>
      <c r="F17" s="110">
        <f t="shared" ref="F17:M17" si="3">E17+F14</f>
        <v>-4001.0794414222164</v>
      </c>
      <c r="G17" s="110">
        <f t="shared" si="3"/>
        <v>-3481.5916694955959</v>
      </c>
      <c r="H17" s="110">
        <f t="shared" si="3"/>
        <v>-2948.0741870728316</v>
      </c>
      <c r="I17" s="110">
        <f t="shared" si="3"/>
        <v>-3106.4909711478522</v>
      </c>
      <c r="J17" s="110">
        <f t="shared" si="3"/>
        <v>2999.9999999999409</v>
      </c>
      <c r="K17" s="110">
        <f t="shared" si="3"/>
        <v>4199.9999999999409</v>
      </c>
      <c r="L17" s="110">
        <f t="shared" si="3"/>
        <v>5999.9999999999409</v>
      </c>
      <c r="M17" s="110">
        <f t="shared" si="3"/>
        <v>-5.9117155615240335E-11</v>
      </c>
      <c r="N17" s="111"/>
    </row>
    <row r="18" spans="2:14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2:14" x14ac:dyDescent="0.2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2:14" x14ac:dyDescent="0.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2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2:14" x14ac:dyDescent="0.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2:14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2:14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</row>
    <row r="25" spans="2:14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</row>
    <row r="26" spans="2:14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</row>
    <row r="27" spans="2:14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</row>
    <row r="28" spans="2:14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2:14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2:14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</row>
    <row r="31" spans="2:14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2:1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</row>
    <row r="33" spans="2:14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</row>
    <row r="34" spans="2:14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</row>
    <row r="35" spans="2:14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</row>
    <row r="36" spans="2:14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</row>
    <row r="37" spans="2:14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</row>
    <row r="38" spans="2:14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</row>
    <row r="39" spans="2:14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</row>
    <row r="40" spans="2:14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</row>
    <row r="41" spans="2:14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</row>
    <row r="42" spans="2:14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2:14" s="78" customFormat="1" x14ac:dyDescent="0.2">
      <c r="B43" s="26" t="s">
        <v>118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7"/>
    </row>
    <row r="45" spans="2:14" ht="30.6" x14ac:dyDescent="0.2">
      <c r="C45" s="107"/>
      <c r="D45" s="146" t="s">
        <v>119</v>
      </c>
      <c r="E45" s="146" t="s">
        <v>120</v>
      </c>
    </row>
    <row r="46" spans="2:14" x14ac:dyDescent="0.2">
      <c r="C46" s="10" t="s">
        <v>0</v>
      </c>
      <c r="D46" s="147">
        <v>5.1999999999999998E-2</v>
      </c>
      <c r="E46" s="147">
        <v>6.0299999999999999E-2</v>
      </c>
    </row>
    <row r="47" spans="2:14" x14ac:dyDescent="0.2">
      <c r="C47" s="10" t="s">
        <v>110</v>
      </c>
      <c r="D47" s="147">
        <v>5.3499999999999999E-2</v>
      </c>
      <c r="E47" s="147">
        <v>6.1100000000000002E-2</v>
      </c>
    </row>
    <row r="48" spans="2:14" x14ac:dyDescent="0.2">
      <c r="C48" s="10" t="s">
        <v>111</v>
      </c>
      <c r="D48" s="147">
        <v>5.5E-2</v>
      </c>
      <c r="E48" s="147">
        <v>6.1900000000000004E-2</v>
      </c>
    </row>
    <row r="49" spans="3:5" x14ac:dyDescent="0.2">
      <c r="C49" s="10" t="s">
        <v>112</v>
      </c>
      <c r="D49" s="148">
        <v>5.5899999999999998E-2</v>
      </c>
      <c r="E49" s="147">
        <v>6.2100000000000002E-2</v>
      </c>
    </row>
    <row r="50" spans="3:5" x14ac:dyDescent="0.2">
      <c r="C50" s="10" t="s">
        <v>113</v>
      </c>
      <c r="D50" s="147">
        <v>5.6500000000000002E-2</v>
      </c>
      <c r="E50" s="147">
        <v>6.2E-2</v>
      </c>
    </row>
    <row r="51" spans="3:5" x14ac:dyDescent="0.2">
      <c r="C51" s="10" t="s">
        <v>114</v>
      </c>
      <c r="D51" s="147">
        <v>5.8999999999999997E-2</v>
      </c>
      <c r="E51" s="147">
        <v>6.3800000000000009E-2</v>
      </c>
    </row>
    <row r="52" spans="3:5" x14ac:dyDescent="0.2">
      <c r="C52" s="10" t="s">
        <v>115</v>
      </c>
      <c r="D52" s="147">
        <v>6.1499999999999999E-2</v>
      </c>
      <c r="E52" s="147">
        <v>6.5600000000000006E-2</v>
      </c>
    </row>
    <row r="53" spans="3:5" x14ac:dyDescent="0.2">
      <c r="C53" s="10" t="s">
        <v>116</v>
      </c>
      <c r="D53" s="147">
        <v>6.4000000000000001E-2</v>
      </c>
      <c r="E53" s="147">
        <v>6.7400000000000015E-2</v>
      </c>
    </row>
    <row r="54" spans="3:5" x14ac:dyDescent="0.2">
      <c r="C54" s="10" t="s">
        <v>117</v>
      </c>
      <c r="D54" s="147">
        <v>6.9000000000000006E-2</v>
      </c>
      <c r="E54" s="147">
        <v>7.1700000000000014E-2</v>
      </c>
    </row>
    <row r="58" spans="3:5" x14ac:dyDescent="0.2">
      <c r="D58" s="1" t="s">
        <v>145</v>
      </c>
      <c r="E58" s="1" t="s">
        <v>146</v>
      </c>
    </row>
    <row r="59" spans="3:5" x14ac:dyDescent="0.2">
      <c r="C59" s="1">
        <v>1</v>
      </c>
      <c r="D59" s="198">
        <v>0.06</v>
      </c>
      <c r="E59" s="198">
        <v>0.03</v>
      </c>
    </row>
    <row r="60" spans="3:5" x14ac:dyDescent="0.2">
      <c r="C60" s="1">
        <v>2</v>
      </c>
      <c r="D60" s="198">
        <v>0.06</v>
      </c>
      <c r="E60" s="198">
        <v>0.03</v>
      </c>
    </row>
    <row r="61" spans="3:5" x14ac:dyDescent="0.2">
      <c r="C61" s="1">
        <v>3</v>
      </c>
      <c r="D61" s="198">
        <f>(D60+0.3%)</f>
        <v>6.3E-2</v>
      </c>
      <c r="E61" s="198">
        <f>(E60+1.2%)</f>
        <v>4.1999999999999996E-2</v>
      </c>
    </row>
    <row r="62" spans="3:5" x14ac:dyDescent="0.2">
      <c r="C62" s="1">
        <v>4</v>
      </c>
      <c r="D62" s="198">
        <f t="shared" ref="D62:D68" si="4">(D61+0.3%)</f>
        <v>6.6000000000000003E-2</v>
      </c>
      <c r="E62" s="198">
        <f t="shared" ref="E62:E64" si="5">(E61+1.2%)</f>
        <v>5.3999999999999992E-2</v>
      </c>
    </row>
    <row r="63" spans="3:5" x14ac:dyDescent="0.2">
      <c r="C63" s="1">
        <v>5</v>
      </c>
      <c r="D63" s="198">
        <f t="shared" si="4"/>
        <v>6.9000000000000006E-2</v>
      </c>
      <c r="E63" s="198">
        <f t="shared" si="5"/>
        <v>6.5999999999999989E-2</v>
      </c>
    </row>
    <row r="64" spans="3:5" x14ac:dyDescent="0.2">
      <c r="C64" s="1">
        <v>6</v>
      </c>
      <c r="D64" s="198">
        <f t="shared" si="4"/>
        <v>7.2000000000000008E-2</v>
      </c>
      <c r="E64" s="198">
        <f t="shared" si="5"/>
        <v>7.7999999999999986E-2</v>
      </c>
    </row>
    <row r="65" spans="3:5" x14ac:dyDescent="0.2">
      <c r="C65" s="1">
        <v>7</v>
      </c>
      <c r="D65" s="198">
        <f t="shared" si="4"/>
        <v>7.5000000000000011E-2</v>
      </c>
      <c r="E65" s="198">
        <f>E64</f>
        <v>7.7999999999999986E-2</v>
      </c>
    </row>
    <row r="66" spans="3:5" x14ac:dyDescent="0.2">
      <c r="C66" s="1">
        <v>8</v>
      </c>
      <c r="D66" s="198">
        <f t="shared" si="4"/>
        <v>7.8000000000000014E-2</v>
      </c>
      <c r="E66" s="198">
        <f t="shared" ref="E66:E68" si="6">E65</f>
        <v>7.7999999999999986E-2</v>
      </c>
    </row>
    <row r="67" spans="3:5" x14ac:dyDescent="0.2">
      <c r="C67" s="1">
        <v>9</v>
      </c>
      <c r="D67" s="198">
        <f t="shared" si="4"/>
        <v>8.1000000000000016E-2</v>
      </c>
      <c r="E67" s="198">
        <f t="shared" si="6"/>
        <v>7.7999999999999986E-2</v>
      </c>
    </row>
    <row r="68" spans="3:5" x14ac:dyDescent="0.2">
      <c r="C68" s="1">
        <v>10</v>
      </c>
      <c r="D68" s="198">
        <f t="shared" si="4"/>
        <v>8.4000000000000019E-2</v>
      </c>
      <c r="E68" s="198">
        <f t="shared" si="6"/>
        <v>7.7999999999999986E-2</v>
      </c>
    </row>
    <row r="81" spans="2:17" s="199" customFormat="1" x14ac:dyDescent="0.2">
      <c r="B81" s="78" t="s">
        <v>147</v>
      </c>
    </row>
    <row r="83" spans="2:17" x14ac:dyDescent="0.2">
      <c r="E83" s="238" t="s">
        <v>163</v>
      </c>
      <c r="F83" s="239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40"/>
    </row>
    <row r="84" spans="2:17" x14ac:dyDescent="0.2">
      <c r="D84" s="149"/>
      <c r="E84" s="200" t="s">
        <v>148</v>
      </c>
      <c r="F84" s="200" t="s">
        <v>149</v>
      </c>
      <c r="G84" s="200" t="s">
        <v>150</v>
      </c>
      <c r="H84" s="200" t="s">
        <v>151</v>
      </c>
      <c r="I84" s="200" t="s">
        <v>152</v>
      </c>
      <c r="J84" s="200" t="s">
        <v>153</v>
      </c>
      <c r="K84" s="200" t="s">
        <v>154</v>
      </c>
      <c r="L84" s="200" t="s">
        <v>159</v>
      </c>
      <c r="M84" s="200" t="s">
        <v>155</v>
      </c>
      <c r="N84" s="200" t="s">
        <v>156</v>
      </c>
      <c r="O84" s="200" t="s">
        <v>157</v>
      </c>
      <c r="P84" s="200" t="s">
        <v>158</v>
      </c>
      <c r="Q84" s="200" t="s">
        <v>160</v>
      </c>
    </row>
    <row r="85" spans="2:17" x14ac:dyDescent="0.2">
      <c r="C85" s="237" t="s">
        <v>162</v>
      </c>
      <c r="D85" s="200" t="s">
        <v>148</v>
      </c>
      <c r="E85" s="107">
        <v>-140</v>
      </c>
      <c r="F85" s="201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0</v>
      </c>
      <c r="L85" s="201">
        <v>0</v>
      </c>
      <c r="M85" s="201">
        <v>0</v>
      </c>
      <c r="N85" s="201">
        <v>0</v>
      </c>
      <c r="O85" s="201">
        <v>0</v>
      </c>
      <c r="P85" s="201">
        <v>0</v>
      </c>
      <c r="Q85" s="201">
        <v>0</v>
      </c>
    </row>
    <row r="86" spans="2:17" x14ac:dyDescent="0.2">
      <c r="C86" s="237"/>
      <c r="D86" s="200" t="s">
        <v>149</v>
      </c>
      <c r="E86" s="107">
        <v>-30</v>
      </c>
      <c r="F86" s="107">
        <v>-50</v>
      </c>
      <c r="G86" s="201">
        <v>0</v>
      </c>
      <c r="H86" s="201">
        <v>0</v>
      </c>
      <c r="I86" s="201">
        <v>0</v>
      </c>
      <c r="J86" s="201">
        <v>0</v>
      </c>
      <c r="K86" s="201">
        <v>0</v>
      </c>
      <c r="L86" s="201">
        <v>0</v>
      </c>
      <c r="M86" s="201">
        <v>0</v>
      </c>
      <c r="N86" s="201">
        <v>0</v>
      </c>
      <c r="O86" s="201">
        <v>0</v>
      </c>
      <c r="P86" s="201">
        <v>0</v>
      </c>
      <c r="Q86" s="201">
        <v>0</v>
      </c>
    </row>
    <row r="87" spans="2:17" x14ac:dyDescent="0.2">
      <c r="C87" s="237"/>
      <c r="D87" s="200" t="s">
        <v>150</v>
      </c>
      <c r="E87" s="107">
        <v>-10</v>
      </c>
      <c r="F87" s="107">
        <v>-30</v>
      </c>
      <c r="G87" s="107">
        <v>-32</v>
      </c>
      <c r="H87" s="201">
        <v>0</v>
      </c>
      <c r="I87" s="201">
        <v>0</v>
      </c>
      <c r="J87" s="201">
        <v>0</v>
      </c>
      <c r="K87" s="201">
        <v>0</v>
      </c>
      <c r="L87" s="201">
        <v>0</v>
      </c>
      <c r="M87" s="201">
        <v>0</v>
      </c>
      <c r="N87" s="201">
        <v>0</v>
      </c>
      <c r="O87" s="201">
        <v>0</v>
      </c>
      <c r="P87" s="201">
        <v>0</v>
      </c>
      <c r="Q87" s="201">
        <v>0</v>
      </c>
    </row>
    <row r="88" spans="2:17" x14ac:dyDescent="0.2">
      <c r="C88" s="237"/>
      <c r="D88" s="200" t="s">
        <v>151</v>
      </c>
      <c r="E88" s="107">
        <v>-2</v>
      </c>
      <c r="F88" s="107">
        <v>-10</v>
      </c>
      <c r="G88" s="107">
        <v>-20</v>
      </c>
      <c r="H88" s="107">
        <v>-16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201">
        <v>0</v>
      </c>
      <c r="P88" s="201">
        <v>0</v>
      </c>
      <c r="Q88" s="201">
        <v>0</v>
      </c>
    </row>
    <row r="89" spans="2:17" x14ac:dyDescent="0.2">
      <c r="C89" s="237"/>
      <c r="D89" s="200" t="s">
        <v>152</v>
      </c>
      <c r="E89" s="107">
        <v>-2</v>
      </c>
      <c r="F89" s="107">
        <v>-2</v>
      </c>
      <c r="G89" s="107">
        <v>-12</v>
      </c>
      <c r="H89" s="107">
        <v>-13</v>
      </c>
      <c r="I89" s="107">
        <v>12</v>
      </c>
      <c r="J89" s="201">
        <v>0</v>
      </c>
      <c r="K89" s="201">
        <v>0</v>
      </c>
      <c r="L89" s="201">
        <v>0</v>
      </c>
      <c r="M89" s="201">
        <v>0</v>
      </c>
      <c r="N89" s="201">
        <v>0</v>
      </c>
      <c r="O89" s="201">
        <v>0</v>
      </c>
      <c r="P89" s="201">
        <v>0</v>
      </c>
      <c r="Q89" s="201">
        <v>0</v>
      </c>
    </row>
    <row r="90" spans="2:17" x14ac:dyDescent="0.2">
      <c r="C90" s="237"/>
      <c r="D90" s="200" t="s">
        <v>153</v>
      </c>
      <c r="E90" s="107">
        <v>-2</v>
      </c>
      <c r="F90" s="107">
        <v>-1</v>
      </c>
      <c r="G90" s="107">
        <v>-4</v>
      </c>
      <c r="H90" s="107">
        <v>-10</v>
      </c>
      <c r="I90" s="107">
        <v>10</v>
      </c>
      <c r="J90" s="107">
        <v>18</v>
      </c>
      <c r="K90" s="201">
        <v>0</v>
      </c>
      <c r="L90" s="201">
        <v>0</v>
      </c>
      <c r="M90" s="201">
        <v>0</v>
      </c>
      <c r="N90" s="201">
        <v>0</v>
      </c>
      <c r="O90" s="201">
        <v>0</v>
      </c>
      <c r="P90" s="201">
        <v>0</v>
      </c>
      <c r="Q90" s="201">
        <v>0</v>
      </c>
    </row>
    <row r="91" spans="2:17" x14ac:dyDescent="0.2">
      <c r="C91" s="237"/>
      <c r="D91" s="200" t="s">
        <v>154</v>
      </c>
      <c r="E91" s="107">
        <v>-2</v>
      </c>
      <c r="F91" s="107">
        <v>-1</v>
      </c>
      <c r="G91" s="107">
        <v>-2</v>
      </c>
      <c r="H91" s="107">
        <v>-5</v>
      </c>
      <c r="I91" s="107">
        <v>8</v>
      </c>
      <c r="J91" s="107">
        <v>15</v>
      </c>
      <c r="K91" s="107">
        <v>29</v>
      </c>
      <c r="L91" s="201">
        <v>0</v>
      </c>
      <c r="M91" s="201">
        <v>0</v>
      </c>
      <c r="N91" s="201">
        <v>0</v>
      </c>
      <c r="O91" s="201">
        <v>0</v>
      </c>
      <c r="P91" s="201">
        <v>0</v>
      </c>
      <c r="Q91" s="201">
        <v>0</v>
      </c>
    </row>
    <row r="92" spans="2:17" x14ac:dyDescent="0.2">
      <c r="C92" s="237"/>
      <c r="D92" s="200" t="s">
        <v>159</v>
      </c>
      <c r="E92" s="107">
        <v>-2</v>
      </c>
      <c r="F92" s="107">
        <v>-1</v>
      </c>
      <c r="G92" s="107">
        <v>-2</v>
      </c>
      <c r="H92" s="107">
        <v>-1</v>
      </c>
      <c r="I92" s="107">
        <v>6</v>
      </c>
      <c r="J92" s="107">
        <v>12</v>
      </c>
      <c r="K92" s="107">
        <v>24</v>
      </c>
      <c r="L92" s="107">
        <v>21</v>
      </c>
      <c r="M92" s="201">
        <v>0</v>
      </c>
      <c r="N92" s="201">
        <v>0</v>
      </c>
      <c r="O92" s="201">
        <v>0</v>
      </c>
      <c r="P92" s="201">
        <v>0</v>
      </c>
      <c r="Q92" s="201">
        <v>0</v>
      </c>
    </row>
    <row r="93" spans="2:17" x14ac:dyDescent="0.2">
      <c r="C93" s="237"/>
      <c r="D93" s="200" t="s">
        <v>155</v>
      </c>
      <c r="E93" s="107">
        <v>-2</v>
      </c>
      <c r="F93" s="107">
        <v>-1</v>
      </c>
      <c r="G93" s="107">
        <v>-2</v>
      </c>
      <c r="H93" s="107">
        <v>-1</v>
      </c>
      <c r="I93" s="107">
        <v>2</v>
      </c>
      <c r="J93" s="107">
        <v>9</v>
      </c>
      <c r="K93" s="107">
        <v>19</v>
      </c>
      <c r="L93" s="107">
        <v>18</v>
      </c>
      <c r="M93" s="107">
        <v>24</v>
      </c>
      <c r="N93" s="201">
        <v>0</v>
      </c>
      <c r="O93" s="201">
        <v>0</v>
      </c>
      <c r="P93" s="201">
        <v>0</v>
      </c>
      <c r="Q93" s="201">
        <v>0</v>
      </c>
    </row>
    <row r="94" spans="2:17" x14ac:dyDescent="0.2">
      <c r="C94" s="237"/>
      <c r="D94" s="200" t="s">
        <v>156</v>
      </c>
      <c r="E94" s="107">
        <v>-2</v>
      </c>
      <c r="F94" s="107">
        <v>-1</v>
      </c>
      <c r="G94" s="107">
        <v>-2</v>
      </c>
      <c r="H94" s="107">
        <v>-1</v>
      </c>
      <c r="I94" s="107">
        <v>2</v>
      </c>
      <c r="J94" s="107">
        <v>4</v>
      </c>
      <c r="K94" s="107">
        <v>14</v>
      </c>
      <c r="L94" s="107">
        <v>14</v>
      </c>
      <c r="M94" s="107">
        <v>20</v>
      </c>
      <c r="N94" s="107">
        <v>32</v>
      </c>
      <c r="O94" s="201">
        <v>0</v>
      </c>
      <c r="P94" s="201">
        <v>0</v>
      </c>
      <c r="Q94" s="201">
        <v>0</v>
      </c>
    </row>
    <row r="95" spans="2:17" x14ac:dyDescent="0.2">
      <c r="C95" s="237"/>
      <c r="D95" s="200" t="s">
        <v>157</v>
      </c>
      <c r="E95" s="107">
        <v>-2</v>
      </c>
      <c r="F95" s="107">
        <v>-1</v>
      </c>
      <c r="G95" s="107">
        <v>-2</v>
      </c>
      <c r="H95" s="107">
        <v>-1</v>
      </c>
      <c r="I95" s="107">
        <v>0</v>
      </c>
      <c r="J95" s="107">
        <v>1</v>
      </c>
      <c r="K95" s="107">
        <v>8</v>
      </c>
      <c r="L95" s="107">
        <v>10</v>
      </c>
      <c r="M95" s="107">
        <v>16</v>
      </c>
      <c r="N95" s="107">
        <v>26</v>
      </c>
      <c r="O95" s="107">
        <v>30</v>
      </c>
      <c r="P95" s="201">
        <v>0</v>
      </c>
      <c r="Q95" s="201">
        <v>0</v>
      </c>
    </row>
    <row r="96" spans="2:17" x14ac:dyDescent="0.2">
      <c r="C96" s="237"/>
      <c r="D96" s="200" t="s">
        <v>158</v>
      </c>
      <c r="E96" s="107">
        <v>-2</v>
      </c>
      <c r="F96" s="107">
        <v>-1</v>
      </c>
      <c r="G96" s="107">
        <v>-2</v>
      </c>
      <c r="H96" s="107">
        <v>-1</v>
      </c>
      <c r="I96" s="107">
        <v>0</v>
      </c>
      <c r="J96" s="107">
        <v>1</v>
      </c>
      <c r="K96" s="107">
        <v>1</v>
      </c>
      <c r="L96" s="107">
        <v>6</v>
      </c>
      <c r="M96" s="107">
        <v>12</v>
      </c>
      <c r="N96" s="107">
        <v>18</v>
      </c>
      <c r="O96" s="107">
        <v>15</v>
      </c>
      <c r="P96" s="107">
        <v>72</v>
      </c>
      <c r="Q96" s="201">
        <v>0</v>
      </c>
    </row>
    <row r="97" spans="2:17" x14ac:dyDescent="0.2">
      <c r="C97" s="237"/>
      <c r="D97" s="200" t="s">
        <v>160</v>
      </c>
      <c r="E97" s="107">
        <v>-2</v>
      </c>
      <c r="F97" s="107">
        <v>-1</v>
      </c>
      <c r="G97" s="107">
        <v>0</v>
      </c>
      <c r="H97" s="107">
        <v>-1</v>
      </c>
      <c r="I97" s="107">
        <v>0</v>
      </c>
      <c r="J97" s="107">
        <v>0</v>
      </c>
      <c r="K97" s="107">
        <v>0</v>
      </c>
      <c r="L97" s="107">
        <v>1</v>
      </c>
      <c r="M97" s="107">
        <v>8</v>
      </c>
      <c r="N97" s="107">
        <v>14</v>
      </c>
      <c r="O97" s="107">
        <v>5</v>
      </c>
      <c r="P97" s="107">
        <v>48</v>
      </c>
      <c r="Q97" s="107">
        <v>-175</v>
      </c>
    </row>
    <row r="98" spans="2:17" x14ac:dyDescent="0.2">
      <c r="C98" s="237"/>
      <c r="D98" s="200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</row>
    <row r="99" spans="2:17" x14ac:dyDescent="0.2">
      <c r="C99" s="237"/>
      <c r="D99" s="200" t="s">
        <v>161</v>
      </c>
      <c r="E99" s="202">
        <f>SUM(E85:E97)</f>
        <v>-200</v>
      </c>
      <c r="F99" s="202">
        <f t="shared" ref="F99:Q99" si="7">SUM(F85:F97)</f>
        <v>-100</v>
      </c>
      <c r="G99" s="202">
        <f t="shared" si="7"/>
        <v>-80</v>
      </c>
      <c r="H99" s="202">
        <f t="shared" si="7"/>
        <v>-50</v>
      </c>
      <c r="I99" s="202">
        <f t="shared" si="7"/>
        <v>40</v>
      </c>
      <c r="J99" s="202">
        <f t="shared" si="7"/>
        <v>60</v>
      </c>
      <c r="K99" s="202">
        <f t="shared" si="7"/>
        <v>95</v>
      </c>
      <c r="L99" s="202">
        <f t="shared" si="7"/>
        <v>70</v>
      </c>
      <c r="M99" s="202">
        <f t="shared" si="7"/>
        <v>80</v>
      </c>
      <c r="N99" s="202">
        <f t="shared" si="7"/>
        <v>90</v>
      </c>
      <c r="O99" s="202">
        <f t="shared" si="7"/>
        <v>50</v>
      </c>
      <c r="P99" s="202">
        <f t="shared" si="7"/>
        <v>120</v>
      </c>
      <c r="Q99" s="202">
        <f t="shared" si="7"/>
        <v>-175</v>
      </c>
    </row>
    <row r="102" spans="2:17" s="199" customFormat="1" x14ac:dyDescent="0.2">
      <c r="B102" s="78" t="s">
        <v>165</v>
      </c>
    </row>
    <row r="105" spans="2:17" ht="20.399999999999999" x14ac:dyDescent="0.2">
      <c r="C105" s="107"/>
      <c r="D105" s="146" t="s">
        <v>166</v>
      </c>
      <c r="E105" s="172" t="s">
        <v>167</v>
      </c>
      <c r="F105" s="172" t="s">
        <v>168</v>
      </c>
    </row>
    <row r="106" spans="2:17" x14ac:dyDescent="0.2">
      <c r="C106" s="10" t="s">
        <v>0</v>
      </c>
      <c r="D106" s="203">
        <v>5.1999999999999998E-2</v>
      </c>
      <c r="E106" s="2">
        <v>0.03</v>
      </c>
    </row>
    <row r="107" spans="2:17" x14ac:dyDescent="0.2">
      <c r="C107" s="10" t="s">
        <v>110</v>
      </c>
      <c r="D107" s="203">
        <v>5.5E-2</v>
      </c>
    </row>
    <row r="108" spans="2:17" x14ac:dyDescent="0.2">
      <c r="C108" s="10" t="s">
        <v>111</v>
      </c>
      <c r="D108" s="203">
        <v>5.8999999999999997E-2</v>
      </c>
    </row>
    <row r="109" spans="2:17" x14ac:dyDescent="0.2">
      <c r="C109" s="10" t="s">
        <v>112</v>
      </c>
      <c r="D109" s="204">
        <v>6.3E-2</v>
      </c>
    </row>
    <row r="110" spans="2:17" x14ac:dyDescent="0.2">
      <c r="C110" s="10" t="s">
        <v>113</v>
      </c>
      <c r="D110" s="203">
        <v>6.9000000000000006E-2</v>
      </c>
      <c r="F110" s="2">
        <v>0.09</v>
      </c>
    </row>
    <row r="111" spans="2:17" x14ac:dyDescent="0.2">
      <c r="C111" s="10" t="s">
        <v>114</v>
      </c>
      <c r="D111" s="203">
        <v>7.5999999999999998E-2</v>
      </c>
    </row>
    <row r="112" spans="2:17" x14ac:dyDescent="0.2">
      <c r="C112" s="10" t="s">
        <v>115</v>
      </c>
      <c r="D112" s="203">
        <v>8.5000000000000006E-2</v>
      </c>
    </row>
    <row r="113" spans="3:6" x14ac:dyDescent="0.2">
      <c r="C113" s="10" t="s">
        <v>116</v>
      </c>
      <c r="D113" s="203">
        <v>9.0999999999999998E-2</v>
      </c>
    </row>
    <row r="114" spans="3:6" x14ac:dyDescent="0.2">
      <c r="C114" s="10" t="s">
        <v>117</v>
      </c>
      <c r="D114" s="203">
        <v>0.1</v>
      </c>
      <c r="F114" s="2"/>
    </row>
    <row r="125" spans="3:6" s="199" customFormat="1" ht="14.4" x14ac:dyDescent="0.3">
      <c r="C125" s="217" t="s">
        <v>193</v>
      </c>
    </row>
    <row r="128" spans="3:6" s="39" customFormat="1" ht="20.399999999999999" x14ac:dyDescent="0.3">
      <c r="C128" s="212" t="s">
        <v>178</v>
      </c>
      <c r="D128" s="212" t="s">
        <v>179</v>
      </c>
      <c r="E128" s="212" t="s">
        <v>192</v>
      </c>
      <c r="F128" s="7" t="s">
        <v>180</v>
      </c>
    </row>
    <row r="129" spans="2:6" x14ac:dyDescent="0.2">
      <c r="B129" s="1" t="s">
        <v>181</v>
      </c>
      <c r="C129" s="102">
        <v>7</v>
      </c>
      <c r="D129" s="102">
        <v>4</v>
      </c>
      <c r="E129" s="102">
        <f>AVERAGE(C129:D129)</f>
        <v>5.5</v>
      </c>
      <c r="F129" s="102">
        <f ca="1">D129-RANDBETWEEN(30,50)/100</f>
        <v>3.59</v>
      </c>
    </row>
    <row r="130" spans="2:6" x14ac:dyDescent="0.2">
      <c r="B130" s="1" t="s">
        <v>182</v>
      </c>
      <c r="C130" s="102">
        <f>C129+0.1</f>
        <v>7.1</v>
      </c>
      <c r="D130" s="102">
        <f>D129+0.2</f>
        <v>4.2</v>
      </c>
      <c r="E130" s="102">
        <f t="shared" ref="E130:E139" si="8">AVERAGE(C130:D130)</f>
        <v>5.65</v>
      </c>
      <c r="F130" s="102">
        <f t="shared" ref="F130:F138" ca="1" si="9">D130-RANDBETWEEN(30,50)/100</f>
        <v>3.9000000000000004</v>
      </c>
    </row>
    <row r="131" spans="2:6" x14ac:dyDescent="0.2">
      <c r="B131" s="1" t="s">
        <v>183</v>
      </c>
      <c r="C131" s="102">
        <f t="shared" ref="C131:C139" si="10">C130+0.1</f>
        <v>7.1999999999999993</v>
      </c>
      <c r="D131" s="102">
        <f t="shared" ref="D131:D139" si="11">D130+0.2</f>
        <v>4.4000000000000004</v>
      </c>
      <c r="E131" s="102">
        <f t="shared" si="8"/>
        <v>5.8</v>
      </c>
      <c r="F131" s="102">
        <f t="shared" ca="1" si="9"/>
        <v>3.95</v>
      </c>
    </row>
    <row r="132" spans="2:6" x14ac:dyDescent="0.2">
      <c r="B132" s="1" t="s">
        <v>184</v>
      </c>
      <c r="C132" s="102">
        <f t="shared" si="10"/>
        <v>7.2999999999999989</v>
      </c>
      <c r="D132" s="102">
        <f t="shared" si="11"/>
        <v>4.6000000000000005</v>
      </c>
      <c r="E132" s="102">
        <f t="shared" si="8"/>
        <v>5.9499999999999993</v>
      </c>
      <c r="F132" s="102">
        <f t="shared" ca="1" si="9"/>
        <v>4.2300000000000004</v>
      </c>
    </row>
    <row r="133" spans="2:6" x14ac:dyDescent="0.2">
      <c r="B133" s="1" t="s">
        <v>185</v>
      </c>
      <c r="C133" s="102">
        <f t="shared" si="10"/>
        <v>7.3999999999999986</v>
      </c>
      <c r="D133" s="102">
        <f t="shared" si="11"/>
        <v>4.8000000000000007</v>
      </c>
      <c r="E133" s="102">
        <f t="shared" si="8"/>
        <v>6.1</v>
      </c>
      <c r="F133" s="102">
        <f t="shared" ca="1" si="9"/>
        <v>4.4200000000000008</v>
      </c>
    </row>
    <row r="134" spans="2:6" x14ac:dyDescent="0.2">
      <c r="B134" s="1" t="s">
        <v>186</v>
      </c>
      <c r="C134" s="102">
        <f t="shared" si="10"/>
        <v>7.4999999999999982</v>
      </c>
      <c r="D134" s="102">
        <f t="shared" si="11"/>
        <v>5.0000000000000009</v>
      </c>
      <c r="E134" s="102">
        <f t="shared" si="8"/>
        <v>6.25</v>
      </c>
      <c r="F134" s="102">
        <f t="shared" ca="1" si="9"/>
        <v>4.5400000000000009</v>
      </c>
    </row>
    <row r="135" spans="2:6" x14ac:dyDescent="0.2">
      <c r="B135" s="1" t="s">
        <v>187</v>
      </c>
      <c r="C135" s="102">
        <f t="shared" si="10"/>
        <v>7.5999999999999979</v>
      </c>
      <c r="D135" s="102">
        <f t="shared" si="11"/>
        <v>5.2000000000000011</v>
      </c>
      <c r="E135" s="102">
        <f t="shared" si="8"/>
        <v>6.3999999999999995</v>
      </c>
      <c r="F135" s="102">
        <f t="shared" ca="1" si="9"/>
        <v>4.7200000000000006</v>
      </c>
    </row>
    <row r="136" spans="2:6" x14ac:dyDescent="0.2">
      <c r="B136" s="1" t="s">
        <v>188</v>
      </c>
      <c r="C136" s="102">
        <f t="shared" si="10"/>
        <v>7.6999999999999975</v>
      </c>
      <c r="D136" s="102">
        <f t="shared" si="11"/>
        <v>5.4000000000000012</v>
      </c>
      <c r="E136" s="102">
        <f t="shared" si="8"/>
        <v>6.5499999999999989</v>
      </c>
      <c r="F136" s="102">
        <f t="shared" ca="1" si="9"/>
        <v>5.0300000000000011</v>
      </c>
    </row>
    <row r="137" spans="2:6" x14ac:dyDescent="0.2">
      <c r="B137" s="1" t="s">
        <v>189</v>
      </c>
      <c r="C137" s="102">
        <f t="shared" si="10"/>
        <v>7.7999999999999972</v>
      </c>
      <c r="D137" s="102">
        <f t="shared" si="11"/>
        <v>5.6000000000000014</v>
      </c>
      <c r="E137" s="102">
        <f t="shared" si="8"/>
        <v>6.6999999999999993</v>
      </c>
      <c r="F137" s="102">
        <f t="shared" ca="1" si="9"/>
        <v>5.160000000000001</v>
      </c>
    </row>
    <row r="138" spans="2:6" x14ac:dyDescent="0.2">
      <c r="B138" s="1" t="s">
        <v>190</v>
      </c>
      <c r="C138" s="102">
        <f t="shared" si="10"/>
        <v>7.8999999999999968</v>
      </c>
      <c r="D138" s="102">
        <f t="shared" si="11"/>
        <v>5.8000000000000016</v>
      </c>
      <c r="E138" s="102">
        <f t="shared" si="8"/>
        <v>6.85</v>
      </c>
      <c r="F138" s="102">
        <f t="shared" ca="1" si="9"/>
        <v>5.450000000000002</v>
      </c>
    </row>
    <row r="139" spans="2:6" x14ac:dyDescent="0.2">
      <c r="B139" s="1" t="s">
        <v>191</v>
      </c>
      <c r="C139" s="102">
        <f t="shared" si="10"/>
        <v>7.9999999999999964</v>
      </c>
      <c r="D139" s="102">
        <f t="shared" si="11"/>
        <v>6.0000000000000018</v>
      </c>
      <c r="E139" s="102">
        <f t="shared" si="8"/>
        <v>6.9999999999999991</v>
      </c>
      <c r="F139" s="102">
        <v>13</v>
      </c>
    </row>
    <row r="144" spans="2:6" s="199" customFormat="1" ht="14.4" x14ac:dyDescent="0.3">
      <c r="C144" s="217" t="s">
        <v>194</v>
      </c>
    </row>
    <row r="147" spans="2:6" x14ac:dyDescent="0.2">
      <c r="B147" s="107"/>
      <c r="C147" s="213" t="s">
        <v>195</v>
      </c>
      <c r="D147" s="213" t="s">
        <v>196</v>
      </c>
      <c r="E147" s="1" t="s">
        <v>197</v>
      </c>
      <c r="F147" s="1" t="s">
        <v>198</v>
      </c>
    </row>
    <row r="148" spans="2:6" x14ac:dyDescent="0.2">
      <c r="B148" s="10" t="s">
        <v>0</v>
      </c>
      <c r="C148" s="203">
        <v>5.1999999999999998E-2</v>
      </c>
      <c r="D148" s="2">
        <v>7.0000000000000007E-2</v>
      </c>
      <c r="E148" s="2">
        <v>0.08</v>
      </c>
      <c r="F148" s="2">
        <v>0.06</v>
      </c>
    </row>
    <row r="149" spans="2:6" x14ac:dyDescent="0.2">
      <c r="B149" s="10" t="s">
        <v>110</v>
      </c>
      <c r="C149" s="203">
        <v>5.5E-2</v>
      </c>
      <c r="D149" s="2">
        <v>7.0000000000000007E-2</v>
      </c>
    </row>
    <row r="150" spans="2:6" x14ac:dyDescent="0.2">
      <c r="B150" s="10" t="s">
        <v>111</v>
      </c>
      <c r="C150" s="203">
        <v>5.8999999999999997E-2</v>
      </c>
      <c r="D150" s="2">
        <v>7.0000000000000007E-2</v>
      </c>
    </row>
    <row r="151" spans="2:6" x14ac:dyDescent="0.2">
      <c r="B151" s="10" t="s">
        <v>112</v>
      </c>
      <c r="C151" s="204">
        <v>6.3E-2</v>
      </c>
      <c r="D151" s="2">
        <v>7.0000000000000007E-2</v>
      </c>
    </row>
    <row r="152" spans="2:6" x14ac:dyDescent="0.2">
      <c r="B152" s="10" t="s">
        <v>113</v>
      </c>
      <c r="C152" s="203">
        <v>6.9000000000000006E-2</v>
      </c>
      <c r="D152" s="2">
        <v>7.0000000000000007E-2</v>
      </c>
    </row>
    <row r="153" spans="2:6" x14ac:dyDescent="0.2">
      <c r="B153" s="10" t="s">
        <v>114</v>
      </c>
      <c r="C153" s="203">
        <v>7.5999999999999998E-2</v>
      </c>
      <c r="D153" s="2">
        <v>7.0000000000000007E-2</v>
      </c>
    </row>
    <row r="154" spans="2:6" x14ac:dyDescent="0.2">
      <c r="B154" s="10" t="s">
        <v>115</v>
      </c>
      <c r="C154" s="203">
        <v>8.5000000000000006E-2</v>
      </c>
      <c r="D154" s="2">
        <v>7.0000000000000007E-2</v>
      </c>
    </row>
    <row r="155" spans="2:6" x14ac:dyDescent="0.2">
      <c r="B155" s="10" t="s">
        <v>116</v>
      </c>
      <c r="C155" s="203">
        <v>8.8999999999999996E-2</v>
      </c>
      <c r="D155" s="2">
        <v>7.0000000000000007E-2</v>
      </c>
    </row>
    <row r="156" spans="2:6" x14ac:dyDescent="0.2">
      <c r="B156" s="10" t="s">
        <v>117</v>
      </c>
      <c r="C156" s="203">
        <v>9.0999999999999998E-2</v>
      </c>
      <c r="D156" s="2">
        <v>7.0000000000000007E-2</v>
      </c>
    </row>
    <row r="170" spans="2:5" s="78" customFormat="1" x14ac:dyDescent="0.2">
      <c r="C170" s="78" t="s">
        <v>199</v>
      </c>
    </row>
    <row r="172" spans="2:5" x14ac:dyDescent="0.2">
      <c r="C172" s="241" t="s">
        <v>45</v>
      </c>
      <c r="D172" s="241"/>
    </row>
    <row r="173" spans="2:5" x14ac:dyDescent="0.2">
      <c r="C173" s="77" t="s">
        <v>200</v>
      </c>
      <c r="D173" s="77" t="s">
        <v>201</v>
      </c>
    </row>
    <row r="174" spans="2:5" x14ac:dyDescent="0.2">
      <c r="B174" s="10" t="s">
        <v>110</v>
      </c>
      <c r="C174" s="214">
        <v>250</v>
      </c>
      <c r="D174" s="214">
        <v>0</v>
      </c>
      <c r="E174" s="216">
        <v>3.9E-2</v>
      </c>
    </row>
    <row r="175" spans="2:5" x14ac:dyDescent="0.2">
      <c r="B175" s="10" t="s">
        <v>111</v>
      </c>
      <c r="C175" s="214">
        <v>250</v>
      </c>
      <c r="D175" s="214">
        <v>0</v>
      </c>
      <c r="E175" s="216">
        <v>4.3999999999999997E-2</v>
      </c>
    </row>
    <row r="176" spans="2:5" x14ac:dyDescent="0.2">
      <c r="B176" s="10" t="s">
        <v>112</v>
      </c>
      <c r="C176" s="214">
        <v>250</v>
      </c>
      <c r="D176" s="214">
        <v>0</v>
      </c>
      <c r="E176" s="216">
        <v>4.9000000000000002E-2</v>
      </c>
    </row>
    <row r="177" spans="2:7" x14ac:dyDescent="0.2">
      <c r="B177" s="10" t="s">
        <v>113</v>
      </c>
      <c r="C177" s="214">
        <v>250</v>
      </c>
      <c r="D177" s="214">
        <v>0</v>
      </c>
      <c r="E177" s="216">
        <v>5.1999999999999998E-2</v>
      </c>
    </row>
    <row r="178" spans="2:7" x14ac:dyDescent="0.2">
      <c r="B178" s="10" t="s">
        <v>114</v>
      </c>
      <c r="C178" s="214">
        <v>3000</v>
      </c>
      <c r="D178" s="214">
        <v>0</v>
      </c>
      <c r="E178" s="216">
        <v>5.7999999999999996E-2</v>
      </c>
    </row>
    <row r="179" spans="2:7" x14ac:dyDescent="0.2">
      <c r="B179" s="10" t="s">
        <v>115</v>
      </c>
      <c r="C179" s="214">
        <v>3000</v>
      </c>
      <c r="D179" s="214">
        <v>6500</v>
      </c>
      <c r="E179" s="216">
        <v>6.7000000000000004E-2</v>
      </c>
    </row>
    <row r="180" spans="2:7" x14ac:dyDescent="0.2">
      <c r="B180" s="10" t="s">
        <v>116</v>
      </c>
      <c r="C180" s="214">
        <v>3000</v>
      </c>
      <c r="D180" s="214">
        <v>0</v>
      </c>
      <c r="E180" s="216">
        <v>7.3000000000000009E-2</v>
      </c>
    </row>
    <row r="181" spans="2:7" x14ac:dyDescent="0.2">
      <c r="B181" s="10" t="s">
        <v>117</v>
      </c>
      <c r="C181" s="214">
        <v>3000</v>
      </c>
      <c r="D181" s="214">
        <v>6500</v>
      </c>
      <c r="E181" s="216">
        <v>7.8E-2</v>
      </c>
    </row>
    <row r="182" spans="2:7" x14ac:dyDescent="0.2">
      <c r="C182" s="171"/>
      <c r="F182" s="198">
        <f>SUMPRODUCT(C174:C181,$E$174:$E$181)/SUM(C174:C181)</f>
        <v>6.7230769230769233E-2</v>
      </c>
      <c r="G182" s="198">
        <f>SUMPRODUCT(D174:D181,$E$174:$E$181)/SUM(D174:D181)</f>
        <v>7.2499999999999995E-2</v>
      </c>
    </row>
    <row r="191" spans="2:7" s="199" customFormat="1" x14ac:dyDescent="0.2">
      <c r="C191" s="78" t="s">
        <v>192</v>
      </c>
    </row>
    <row r="195" spans="2:5" ht="40.799999999999997" x14ac:dyDescent="0.2">
      <c r="C195" s="213" t="s">
        <v>202</v>
      </c>
      <c r="D195" s="172" t="s">
        <v>203</v>
      </c>
      <c r="E195" s="172" t="s">
        <v>204</v>
      </c>
    </row>
    <row r="196" spans="2:5" x14ac:dyDescent="0.2">
      <c r="B196" s="10" t="s">
        <v>148</v>
      </c>
      <c r="C196" s="203">
        <v>5.1999999999999998E-2</v>
      </c>
      <c r="D196" s="216">
        <v>4.2000000000000003E-2</v>
      </c>
    </row>
    <row r="197" spans="2:5" x14ac:dyDescent="0.2">
      <c r="B197" s="10" t="s">
        <v>110</v>
      </c>
      <c r="C197" s="203">
        <v>5.5E-2</v>
      </c>
      <c r="D197" s="216">
        <v>4.4999999999999998E-2</v>
      </c>
    </row>
    <row r="198" spans="2:5" x14ac:dyDescent="0.2">
      <c r="B198" s="10" t="s">
        <v>111</v>
      </c>
      <c r="C198" s="203">
        <v>5.8999999999999997E-2</v>
      </c>
      <c r="D198" s="216">
        <v>4.8999999999999995E-2</v>
      </c>
    </row>
    <row r="199" spans="2:5" x14ac:dyDescent="0.2">
      <c r="B199" s="10" t="s">
        <v>112</v>
      </c>
      <c r="C199" s="204">
        <v>6.3E-2</v>
      </c>
      <c r="D199" s="216">
        <v>5.2999999999999999E-2</v>
      </c>
    </row>
    <row r="200" spans="2:5" x14ac:dyDescent="0.2">
      <c r="B200" s="10" t="s">
        <v>113</v>
      </c>
      <c r="C200" s="203">
        <v>6.9000000000000006E-2</v>
      </c>
      <c r="D200" s="216">
        <v>5.9000000000000004E-2</v>
      </c>
    </row>
    <row r="201" spans="2:5" x14ac:dyDescent="0.2">
      <c r="B201" s="10" t="s">
        <v>114</v>
      </c>
      <c r="C201" s="203">
        <v>7.5999999999999998E-2</v>
      </c>
      <c r="D201" s="216">
        <v>6.6000000000000003E-2</v>
      </c>
      <c r="E201" s="203">
        <v>7.5999999999999998E-2</v>
      </c>
    </row>
    <row r="202" spans="2:5" x14ac:dyDescent="0.2">
      <c r="B202" s="10" t="s">
        <v>115</v>
      </c>
      <c r="D202" s="216">
        <v>7.5000000000000011E-2</v>
      </c>
      <c r="E202" s="203">
        <v>8.5000000000000006E-2</v>
      </c>
    </row>
    <row r="203" spans="2:5" x14ac:dyDescent="0.2">
      <c r="B203" s="10" t="s">
        <v>116</v>
      </c>
      <c r="D203" s="216">
        <v>7.9000000000000001E-2</v>
      </c>
      <c r="E203" s="203">
        <v>8.8999999999999996E-2</v>
      </c>
    </row>
    <row r="204" spans="2:5" x14ac:dyDescent="0.2">
      <c r="B204" s="10" t="s">
        <v>117</v>
      </c>
      <c r="D204" s="216">
        <v>8.1000000000000003E-2</v>
      </c>
      <c r="E204" s="203">
        <v>9.0999999999999998E-2</v>
      </c>
    </row>
    <row r="208" spans="2:5" s="199" customFormat="1" x14ac:dyDescent="0.2">
      <c r="C208" s="78" t="s">
        <v>205</v>
      </c>
    </row>
    <row r="211" spans="2:4" ht="20.399999999999999" x14ac:dyDescent="0.2">
      <c r="C211" s="213" t="s">
        <v>206</v>
      </c>
      <c r="D211" s="213" t="s">
        <v>210</v>
      </c>
    </row>
    <row r="212" spans="2:4" x14ac:dyDescent="0.2">
      <c r="B212" s="10" t="s">
        <v>0</v>
      </c>
      <c r="C212" s="216">
        <v>4.2000000000000003E-2</v>
      </c>
      <c r="D212" s="216">
        <f>C212-0.007</f>
        <v>3.5000000000000003E-2</v>
      </c>
    </row>
    <row r="213" spans="2:4" x14ac:dyDescent="0.2">
      <c r="B213" s="10" t="s">
        <v>110</v>
      </c>
      <c r="C213" s="216">
        <v>4.4999999999999998E-2</v>
      </c>
      <c r="D213" s="216">
        <f>C213-0.006</f>
        <v>3.9E-2</v>
      </c>
    </row>
    <row r="214" spans="2:4" x14ac:dyDescent="0.2">
      <c r="B214" s="10" t="s">
        <v>111</v>
      </c>
      <c r="C214" s="216">
        <v>4.8999999999999995E-2</v>
      </c>
      <c r="D214" s="216">
        <f>C214-0.005</f>
        <v>4.3999999999999997E-2</v>
      </c>
    </row>
    <row r="215" spans="2:4" x14ac:dyDescent="0.2">
      <c r="B215" s="10" t="s">
        <v>112</v>
      </c>
      <c r="C215" s="216">
        <v>5.2999999999999999E-2</v>
      </c>
      <c r="D215" s="216">
        <f>C215-0.004</f>
        <v>4.9000000000000002E-2</v>
      </c>
    </row>
    <row r="216" spans="2:4" x14ac:dyDescent="0.2">
      <c r="B216" s="10" t="s">
        <v>113</v>
      </c>
      <c r="C216" s="216">
        <v>5.5E-2</v>
      </c>
      <c r="D216" s="216">
        <f>C216-0.003</f>
        <v>5.1999999999999998E-2</v>
      </c>
    </row>
    <row r="217" spans="2:4" x14ac:dyDescent="0.2">
      <c r="B217" s="10" t="s">
        <v>114</v>
      </c>
      <c r="C217" s="216">
        <v>6.0999999999999999E-2</v>
      </c>
      <c r="D217" s="216">
        <f>C217-0.003</f>
        <v>5.7999999999999996E-2</v>
      </c>
    </row>
    <row r="218" spans="2:4" x14ac:dyDescent="0.2">
      <c r="B218" s="10" t="s">
        <v>115</v>
      </c>
      <c r="C218" s="216">
        <v>6.5000000000000002E-2</v>
      </c>
      <c r="D218" s="216">
        <f>C218+0.002</f>
        <v>6.7000000000000004E-2</v>
      </c>
    </row>
    <row r="219" spans="2:4" x14ac:dyDescent="0.2">
      <c r="B219" s="10" t="s">
        <v>116</v>
      </c>
      <c r="C219" s="216">
        <v>6.9000000000000006E-2</v>
      </c>
      <c r="D219" s="216">
        <f>C219+0.004</f>
        <v>7.3000000000000009E-2</v>
      </c>
    </row>
    <row r="220" spans="2:4" x14ac:dyDescent="0.2">
      <c r="B220" s="10" t="s">
        <v>117</v>
      </c>
      <c r="C220" s="216">
        <v>7.3999999999999996E-2</v>
      </c>
      <c r="D220" s="216">
        <f>C220+0.004</f>
        <v>7.8E-2</v>
      </c>
    </row>
    <row r="223" spans="2:4" x14ac:dyDescent="0.2">
      <c r="C223" s="1" t="s">
        <v>209</v>
      </c>
      <c r="D223" s="218">
        <f>C233-C227</f>
        <v>1000</v>
      </c>
    </row>
    <row r="224" spans="2:4" ht="30.6" x14ac:dyDescent="0.2">
      <c r="C224" s="213" t="s">
        <v>207</v>
      </c>
      <c r="D224" s="213" t="s">
        <v>208</v>
      </c>
    </row>
    <row r="225" spans="2:5" x14ac:dyDescent="0.2">
      <c r="B225" s="10" t="s">
        <v>0</v>
      </c>
      <c r="C225" s="102">
        <v>-100</v>
      </c>
      <c r="D225" s="102">
        <f>SUM(C225:$C$225)</f>
        <v>-100</v>
      </c>
      <c r="E225" s="198"/>
    </row>
    <row r="226" spans="2:5" x14ac:dyDescent="0.2">
      <c r="B226" s="10" t="s">
        <v>110</v>
      </c>
      <c r="C226" s="102">
        <v>-300</v>
      </c>
      <c r="D226" s="102">
        <f>SUM(C$225:$C226)</f>
        <v>-400</v>
      </c>
      <c r="E226" s="198"/>
    </row>
    <row r="227" spans="2:5" x14ac:dyDescent="0.2">
      <c r="B227" s="10" t="s">
        <v>111</v>
      </c>
      <c r="C227" s="102">
        <v>-400</v>
      </c>
      <c r="D227" s="102">
        <f>SUM(C$225:$C227)</f>
        <v>-800</v>
      </c>
      <c r="E227" s="198"/>
    </row>
    <row r="228" spans="2:5" x14ac:dyDescent="0.2">
      <c r="B228" s="10" t="s">
        <v>112</v>
      </c>
      <c r="C228" s="102">
        <v>-200</v>
      </c>
      <c r="D228" s="102">
        <f>SUM(C$225:$C228)</f>
        <v>-1000</v>
      </c>
      <c r="E228" s="198"/>
    </row>
    <row r="229" spans="2:5" x14ac:dyDescent="0.2">
      <c r="B229" s="10" t="s">
        <v>113</v>
      </c>
      <c r="C229" s="102">
        <v>-250</v>
      </c>
      <c r="D229" s="102">
        <f>SUM(C$225:$C229)</f>
        <v>-1250</v>
      </c>
      <c r="E229" s="198"/>
    </row>
    <row r="230" spans="2:5" x14ac:dyDescent="0.2">
      <c r="B230" s="10" t="s">
        <v>114</v>
      </c>
      <c r="C230" s="102">
        <v>-150</v>
      </c>
      <c r="D230" s="102">
        <f>SUM(C$225:$C230)</f>
        <v>-1400</v>
      </c>
      <c r="E230" s="198"/>
    </row>
    <row r="231" spans="2:5" x14ac:dyDescent="0.2">
      <c r="B231" s="10" t="s">
        <v>115</v>
      </c>
      <c r="C231" s="102">
        <v>350</v>
      </c>
      <c r="D231" s="102">
        <f>SUM(C$225:$C231)</f>
        <v>-1050</v>
      </c>
      <c r="E231" s="198"/>
    </row>
    <row r="232" spans="2:5" x14ac:dyDescent="0.2">
      <c r="B232" s="10" t="s">
        <v>116</v>
      </c>
      <c r="C232" s="102">
        <v>450</v>
      </c>
      <c r="D232" s="102">
        <f>SUM(C$225:$C232)</f>
        <v>-600</v>
      </c>
      <c r="E232" s="198"/>
    </row>
    <row r="233" spans="2:5" x14ac:dyDescent="0.2">
      <c r="B233" s="10" t="s">
        <v>117</v>
      </c>
      <c r="C233" s="102">
        <v>600</v>
      </c>
      <c r="D233" s="102">
        <f>SUM(C$225:$C233)</f>
        <v>0</v>
      </c>
      <c r="E233" s="198"/>
    </row>
  </sheetData>
  <mergeCells count="3">
    <mergeCell ref="C85:C99"/>
    <mergeCell ref="E83:Q83"/>
    <mergeCell ref="C172:D172"/>
  </mergeCells>
  <phoneticPr fontId="12" type="noConversion"/>
  <pageMargins left="0.7" right="0.7" top="0.75" bottom="0.75" header="0.3" footer="0.3"/>
  <colBreaks count="1" manualBreakCount="1">
    <brk id="20" max="98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9 0 0 5 D 6 9 B - 6 4 D F - 4 C F 1 - A D 2 A - B 2 A F 7 C 5 7 6 A B D } "   T o u r I d = " 4 1 2 8 6 d a 3 - d e f 7 - 4 9 b f - 9 f e 8 - f e 6 f c 3 4 0 3 9 4 f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p U A A A K V A T / j K k w A A F j W S U R B V H h e 1 b 3 3 k 1 1 H l u d 3 y n v v H Q o F 7 0 E Q I O g A A g R o m m T 7 m d 6 e 2 N 2 Y n t U P O 9 o Z a f U P 6 I f Z C P 2 s X 7 Q K R W g V + k F S R E / P 9 H Q 3 u 9 n 0 A A E Q 3 n t v q g r l v f d G 5 5 P 3 Z r 3 7 b t 3 3 6 l X V q w L m C y a v q f u u y T w n j 8 m T J x M + P X l + V v 6 V o H j t 6 z I 8 L D I 5 O S U z M z O m z M 7 O z h U L 7 7 4 X k c 5 H R b T f J C S 4 O w 7 q C q d k b d G 0 J C X M y t D Q k G R n Z 7 t / C e H 5 8 y a p q a l 2 j 0 R u t 6 b I t r J x a W 1 t k 6 q q S n O u q S 9 J S r J n J C 0 5 / N l c 2 z a Y 5 B 6 J J C X O y r s b x o W r j j 1 M l 2 Q 9 f m v t h K S 6 v 7 v Q m C q v r 5 k w + 0 G Y m p q U 5 O Q U s z 8 + N i Z p 6 e n S O 5 I o 3 V r W 6 r e M T S V K V s q M / z O j Y m J C n 5 + a 6 h 4 5 S I h w g 7 n z W s c J i Y n m m J K o + 9 P T 0 5 K R k S G J y e n y x 1 M X n O v + F S D R f s T L X k r q X j J m A v x d S 2 r S j G w o n p T 1 x U q E I 0 P S 1 9 c X y E y g v r 7 e 3 X O w o 2 L S E E 9 6 e p o 5 n p h K M A y R k j T / 2 V z 7 3 q Y x 9 0 i k I n d G x i Y T D D O B N z 3 M B H J n 2 q S v p 8 f c f 2 p K 6 0 2 3 X l h m o i 5 h J l C Q y b d M K X O K Z K c u j p m A n 5 n A g m 2 i D 5 l 1 2 3 N 8 y n m f Y e 2 Q R k d G Z G Z q T F 5 d V x l G C y 9 z 0 W p 7 + V G y 9 l X t 8 V 8 y Z v I A w l 5 b O C 0 X L l 6 S t L Q 0 y c / P d / 8 y H 5 W V j h T y 4 v z 5 i 1 J U V C R T M y J D E w l K y L E 9 G 0 m W n j I r + 2 o m p D R 7 O k y i 9 f Z 0 y 9 a 1 h Z J f W C h J S U n K P M n S M j S f 2 A H 1 C U a U O V s H Q h I w n l i o b U Z G x 2 R k Z F h S E m e k f 9 S R X k n 6 z n Q E l e U l 8 s m B 1 8 x 1 L z t e e o b K K 9 s g Q 8 N U 7 P R L y U z r i q d l Y 8 m U P H 7 8 R F 7 f / 5 o h 3 C B 0 q K p G h 1 B W V u q e C W H j x v V m O z S e I C n T A 9 L c n y T H H 6 b J n V b 9 b o f W 5 3 B M z / N + r 9 d O a O P N S k 9 3 l + S m T c m u y k n z d 7 4 X I i w o L D L H T 7 u d 9 + G L q v O m p d 2 j M l r A c J O T k 5 K p z I n a u I Q a M x g c H N D 3 6 Z S R Y Z X S K h n 9 i N Z G U 4 m Z k p q W Y f Z z 0 m Y k M y t r r r 1 R I x N m J u T I v p 3 u L 1 5 e J P z x 1 M W l 1 t + q I L P 0 N a 3 Q a a O 2 v E z M l K V S Z L 8 S d Z J 2 S R c v X Z b X 9 u 0 1 v W o Q T j 1 O l Y n p B C X a c S X e F P l g q 0 P 8 F t 3 d 3 U a q n W v I k A P r H J u n c y h R b j Q 7 K p k X P O L o p n H 3 y A / e X d U n / Q b 7 L g 0 9 y V J d o H q U / o l 3 B b 2 j i V K Q 4 X D q 6 O i o s V W 8 G B g Y k p y c L L M / M Y 5 t l a F 1 P 6 2 2 T T g z 8 p y x M X 6 f K Z N K 9 C k + d Y 9 z Q 0 M D y t z F 7 p k Q / H X V N Z w k x V k z M q n 1 N D W T I I 1 9 y b K t f E q u N K V p P U 8 Z e y 8 7 O 0 c u P 2 i U 1 q 5 e 9 1 c v H 9 S G c h r p Z S u I + 6 y y p T E T Z 4 L O L 4 g F f p O u K t V r a u Q f 3 T w u b 9 Z N q C E / I m 1 t b V J W W q L v r C 8 d g C d d S Y a Z Q E p K m q R g n P h w 6 d J V I y V g p m l X I g U x E 4 j M T M C + w 6 w M D v S b v d r C K U m i P j 2 P h Z m 6 l G H B 8 N C g 2 X q R m 5 s t k z O O k w B m A p a Z U M s s + D v M B P z M B D i X l B Q s s f 3 t U 5 A x r f U 5 K k M D X c p Q j p T C n t p b P S 7 P e x O M v Y c U 3 V V X L i U F u X N 0 8 r K V + a 3 7 k i C j e I 8 y 0 8 z i m Y l z A e e X A z x 3 M N G B 9 R M y M p U g o 2 p r 1 D + r l 3 Q 1 5 M v L y 6 W 2 t t a 9 c j 6 e u S o X 4 P f v b n Q Y Y m B M a 9 / F z L R S j g t L + N s r n H M 1 B d P y n j 7 b 8 u G j z m A C 9 S I h w f G S U W + R k J v u / K 2 4 Z L 4 K C l I D n C I g M 9 O R X L E A B s j N y 1 c p F 9 w J e N u P 7 0 5 V + 7 O g o F D f b V b S k p S h V J C P q M C u z J 3 S e n S + C S b e X F n g / u r l w 0 v J U L m V S K Z Z U 4 G W i f z M 4 z 8 G Q e d i R s B v I W Q K X i 9 L / h U 5 M 5 I 0 M y b l F e X G v R s k S a b 1 V o 9 V M n 3 7 w P H c b S 6 d M v d B w l m k e f i i q r r K 3 Q u h I n f a u M 6 f 9 z r 3 O a y M y D 2 w 1 4 L Q 3 t r i 7 j n I V 8 L k / S L B K 1 F R 5 4 I Q Z G / F A t p h o K 9 X J b J T N z A K z G X h l X J c 2 z f i v A v v 1 N 7 W a s 4 V 6 7 f f b E m W H v 3 b p L 5 e U a Z D C 9 B E b k 6 O v L N j n f n N y 4 a E z 0 5 f W g Y V x h 9 5 V a 9 o h T v e H c t Q t q d l 3 7 v 1 I u j c Q k j U d l T t g h 8 7 J 1 z k Z 8 7 I v p p w O 8 e L r 4 9 9 L x 8 c P e g e h e P E o z T j S I B e c X 3 v r p q U P O 1 x o + H G j Z u y e / c u 9 0 g Z U n / f P p g o l X k z 0 q / 2 z P P h A u M y X w j U U z Q m s r C f z P e D g f 4 + I 0 k i A Y l M Z + D h Q Q P q b n o 2 w b j u R / B O q p r 2 X G 2 f L a U L v y v t 5 W V q 7 7 4 d E 7 P n J t W m 6 h 9 N k p a B J H m 1 Z n r O a 8 k Y 1 Z / P X D b X v C x 4 q S R U V n 6 Z G r n h z O R n o i D G C T q 3 E G i q I G a i D U f G E 6 V P D X d r + 3 i B x + n A m 3 v d o x B Q 4 Z A k X q / c O 6 r i + Z l p W A k P A r S P b e l P k o 0 b N 8 i j R 4 / N M c x 0 t S l F 7 + c 0 T Z 7 a M 7 E w E 4 C Z c B I s B L 6 q Z z j U 9 D B T t N 9 l p D j M x L v y 3 h A 2 r w 9 D p i Q 6 9 k 5 Z z r R x 1 J Q k t Z r f m L q N A p i F N r b w t q E d E 7 P n e E Z G y o y 8 o p 1 T Q 7 f z O 2 j k 6 e P 7 s n v j W n P N y 4 K X i q F m U m p U N Z h v M 9 m K t d v l I k U 1 G X O n g P u h Z r 2 z Y V z y 1 X A P s i N G R k Y C X e M X G 8 K N 8 u r 8 Y D W K e z J 2 B M O C c l X t 8 L I N D A y Y Y 2 w J 1 D o 8 X s C r K s U C 7 + B t T 1 e n u z c f q F R d L l P x L r 1 9 A 2 F 1 H Y T K P G w Y b B r d u u f 8 K C o q N t 4 9 K / 0 s G D P z A 0 k z 6 l P / / L D n s l I d m p h x 3 x E a y c r K U m a O 9 C Y v B l q j v N C L L z k V + 5 R 4 n I q i w r w F 2 K 0 f k c 6 D D H e A d L O q I B A 4 3 i 6 A T h 4 J d j w n C L i Y O z u 7 5 k U D n H 4 6 3 8 P F u J M f d 9 p S D D O D t o F E o y a N j M / K p 5 9 + J n v 3 v u r 8 Q Z G u / D q s U g x J h h 1 C x E C s y M z K l v F x J 5 p i Z t Y j L g M A 0 z a 3 d s n U U J s U F u Q Z q W H V L K t m L w X J r u 3 k h e 1 g e o b d R n C R k Z k V Z l O 1 9 I f 6 e H / b s 1 1 T M C 2 N 3 d O m o 2 G o I T U 5 R X Z W 4 a Q I 0 d K L L C + F 2 z y / c p u q H M S W h U d C L I R o 1 + D F y t N y Z O O Y V G n P S g + J s 2 A O A b 8 t y 4 l O R J 2 d n U Y 9 8 w P C 9 + P g + v m e r e 3 l I W a F Y Q a H x + T R v R t y 4 P 2 f u G c d 9 K v 6 + K g j W e 6 1 O 5 I w 3 T d O t B D S 0 h y V K S 8 / s j e M u m t p b p K q i m L j 6 e M 3 0 1 r / F o 7 6 G A p z 8 o P Q I A v a a 3 I y F D P I A G 8 k F G Y 5 9 W 4 d H t w H z 6 F t S 5 w x Y 1 N O f c L c l r F R 8 / r 7 e k 0 E S P 9 Y q n k / 4 i U b 6 u t N D O T R v d v m 0 d W L K K H u 4 A V i b C J j n s 0 E 7 L 7 3 n E X Q O S + w Q U q 0 B 0 b 1 o P C x c 4 j w 2 6 D 4 O a Q I u H j x k u T l 5 Z l 9 P / a t C Z d q O W k B 7 + t u w U N l l u n h D m l r u C e D O a / J d b W Z 7 r e H e v W S r C k T G 9 g 3 N G E 6 m f E I b m c / / N d B f F 5 Y y U X v j i 1 Y W R U K 0 g W J q o J 5 w b A A C K p r r / S D u F N S Q l I a l W 8 h Y H O B W f c + x q Z y O 1 S v B s G 9 o Q 2 2 d B B 4 L 7 e V T 5 h 3 O n n y e x l V 2 4 + / p 6 c m S W r K w k M K K 4 0 X r v J l l e 3 V B n a k k p V M t o C g x g w 6 5 w f S y T Y a w H A 2 i P L b L W X z X d K X G 1 P k 2 b N 6 e e 2 1 f R E Z C n s L W H W O 4 4 c d 4 W o P X 2 t x 7 9 z v p a o k Q 3 a / 8 o p U F 8 x K 0 u y Y d H e 1 S U O P S l G X e C p z x u X 1 d Y n G X o O w Y S w v + v v 6 z L n h Y U d S 8 D v i C I G t n 9 K y C r O 1 s K o j a q S 9 1 g u r 7 g V h c H B Q n x f q O H J y c t 0 9 4 I Q 7 g a b G B i k q L j H 7 X u D 0 s M w D p l S i o T W g 8 l n A 0 H w 7 Q b m t X a E B Z 2 w t A H 3 8 4 Q 9 / N A H G P K 9 m T b V s 3 r z Z n O d 4 3 3 q + N 5 y + V r s k B p x b t Z J b t l F 7 T a e i 4 s l M 2 A Z E N F h 8 9 y h 9 z m s W C 1 A 5 8 N h 9 d T d Z 2 p s e q a F d K B c b 0 + b G l Q A h M h f q U + V 6 c 4 o J E 3 L O K V H o d w 2 M J 0 h j r z N G h c v 5 + y e p c u V 5 i o n D + + L 6 i G R s + r k k J q P m i K w r m p L p h H Q Z T a 6 U E l U 5 L f F M T I x J p i d I 1 u 8 I y V P 7 g X N Z a j M B + z s v u r s 6 3 D 3 u N z 6 n 0 l H X X n S 7 z o l I A 7 A w W k 5 O j j 4 v R d p a m 0 3 8 Y D i I Z H D e r 3 p N + C A 3 E g S k p 2 f o f R K N S x w k q 0 S r y C Y U K / T e P M c 6 Y c q L s o 1 K B z o 7 2 s 2 W v 6 + t X S O l l X X m d x m q p l p 6 o U P J z c 2 V d / Z s N b T 1 o k r C 5 2 e v L E y h K 4 T U w l e 1 o S O H F t m t F 0 H n w L b S M b n 9 q E l y S 9 e b I F O m O T z q S j a x b H O I 8 F s L V L V B / a 0 X h z Z M S O + o 2 j t q 1 6 w v n j b O h P L c E E E S w E q E N t M m m H o R C U g v q 8 p k p 8 8 a e + p 5 Y 5 O U F 6 b L W E q J V H r u C f A m Z m Y 6 Y T 3 N 2 p N X R f A a B q G j v d V I J x g q N 6 9 A x k Z H J C c 3 J F 3 H R k f D 7 D K i O e q U s W M F R G 8 H b S 0 4 B 1 N F k 3 L R Q L s G / T b S / X p H k 6 T I t c e Q a h S Y r L e 3 V 6 4 8 C 3 U k q 4 0 X x l A 5 F a + q u u K o C j C U Z S T L M E G M E 3 R u Z + W k 9 A y O S 3 n G k B R o r / 3 t w 3 T j i L B u 2 2 M q n c z P A n 7 r B z / x X 0 V 0 g g U R 4 E f c W D o Y D w k V h N r C a Z V Q S e Z a P z m 0 d / U Z W 6 2 w I O Q w s A R K X d i e n j o J k j o L A d U K a e A F z g V r D 1 k g s V J T H Y n b M Z R k p n 9 Y Y G t Z x 0 Y Q U N 2 Q N k G g Y 4 S 4 v W h t a Z K K y n B 7 z e K J M v N 6 Z W a e y b c T M w g T 2 f f D A 4 g U 9 t Y N 3 l b b 2 X C t L d Q X B S / j F + d v m b + v N o i A 5 K 1 W v S D 5 l y u Z a g u m p E w J Y U P x r J w 9 c 3 7 O O 3 T 2 W W i A N e B n E Z G u K t a 6 Y i d M a H N Z u K M B 5 4 R l J h C J m U C x v l N t w f y x m p N 3 R o z k S f P 0 7 n x X s h I B 9 Q D B 4 C x 4 3 l A f x k x W J f N i a G j Q M A p q n L d D s s z U 3 R n q p f 3 M B L y R 4 z B T z 0 j o G a P D 0 d 3 0 k Z g J I B 3 9 i H a 9 j X p H a h J I C 2 O g F s J M A / 3 9 x g O I B z H R M 7 D F u N 2 J E y f N v v 1 u C n V I G R k e l p L 8 n D B 6 W 6 0 S + U t X E J k l e 7 T H i d 0 9 H g n Z r j e N 3 j 1 9 w w / l 9 F O n x 2 V a B c G k / e 7 g q T 7 E 2 U Y B 7 f V 2 3 Y T a N N P y V F X F B x 6 v G / D a M 9 h E I F l p k s F O L w i / u d K Y K v U 9 S X L y c Y o h e o v Z y Q G p K C + V r O x s t U O 6 D e G Y 3 t V V W Q B j X D W 1 a 9 V o n z R E Z u p o Z l L O 3 3 c G X u m 5 k W g w H I x C V D 7 7 t p c G M F t R h K B X 7 g l g 3 v a 2 U P x f Y W Z I 5 f R 7 + / z w O i f 8 K K + Y H 5 d Y X h G a V P m 9 2 0 a A b 0 t P H D f f 5 X X x E y n R 0 9 M l q W l u P a v t R g f Q 0 9 O t j H R K O r W z K C s v M 3 / z w j I V 9 P D q x h r 3 7 O r C 8 P 1 q l t T 0 X C U K R z p R A d 4 C 7 N Y L / z l 6 1 K O q 1 j F m Y T G b E L K V r P v b T A c P u F 8 Q 3 v V I n 8 z U c H v G C 0 J q m K 8 D m H J O O I 4 F 9 J z v a C I G K d 2 X Z U h 7 S y Y f g o L E b q n v d q 4 v K C w 0 h I N N h s 1 n g W q D l E J t w c 6 B 0 b J S p m U i u V i G J 9 R W 0 5 7 b d C A + t Q 5 Y 5 u 3 v 6 1 F D v s 3 s + + G 1 n U p K y 8 3 W P 4 k x O 0 d 7 9 w i A 0 S F u 7 2 C s H 7 x / E C D 2 4 Q d / d I + w E 4 c l M z 1 l r i P w A j X P + 4 3 Q w I U L l 2 W m 9 E 1 T J 1 s 2 b w 6 j G W / h O a 2 t r b K j t i K Q B l e y a L c Y d H r l S l L 2 e i W a + W N O k R B 0 D e 3 v b Q P s J k D Y z r s b t N c 3 R 9 g 5 r o R a A A z o 2 t + Q p I S Q n M r 8 a R P Y 6 s f T r q S 5 O U t W U l k w V 4 n A U C v N 3 n p 9 t x Q X F U l B Q b 4 c / + 6 E E q P + v c J 5 E k T E O B E O D i t p D S O p 5 P B H Y i A J D 6 6 f M N I P Q D D 8 3 l 8 3 1 k N W V V 0 r R U U l p t P y w + v 5 g z C Z 3 H i t O f Q 8 m N J v A 1 l w P x i d v 4 e m c T j v g L T 9 / P M v 5 J u v v 5 U v v v h K n j x x O h E v e N a a 2 j X S 1 d m 5 Y P u P j 4 U 6 O P s d b A 9 t S T H h T Z F g 7 1 t a W i o V R b j 2 H b p b r b K q b v P 8 i g 1 G O k E Q 9 s N t A X a 7 E P q U 6 H E 2 w E i W m f B S w U z e i X Q 3 m z 0 e v i h o 6 3 N 6 V J 7 + q D N J d l R M y b a y q T l C x x l x 7 I H j N q / 3 e g 0 9 8 D o v 3 l L V 8 Y g 7 7 w m Q L + L I u 4 e l u T n c v r A M w H d T J 0 E J T g A q z / B w a F x m c G D A 2 G K 2 Z 4 c x + T 2 u b Q u i I F A F i V r g b 7 1 K z C C / w J k a P 4 f Z G X m t J i R R v I O 5 e M x M m 7 j t g n S a D + c d 6 O F Q P 9 9 7 / 6 j 8 5 C c / M g T d 1 9 c r N 2 / e U m n R Y p j p 9 u 2 7 s n n z J i O d b 9 + + r a p p Z C n n n U X M d / A N M L N t X 0 s q X t r x F q 5 v a 2 2 T 1 7 b U h t H g S p f Y u v A 4 Y X Q i O 0 z V W w i R r k H l s n 9 i A J c k J X i K l o q 8 y W c m R q + p N 0 k q 8 h w p A B O d e Z p q H A K o e d H e l p m 7 x 4 5 9 J 6 d O n d b t c W l o a J C B g T 5 p b 3 f G T y z y 8 3 P D v s l O m Y A x I k k F Y O Y I u b 0 0 k o A x K O v l A t S p 9 / e D g / 1 S V b P G 7 D M A y 9 / y C w q M b e V V x 2 B M B m G x i W y b Q I i A d 5 p L N u M y r o 0 C 9 6 O z q 1 N O n z 4 r h w + 9 M 8 f k M D c q m p M y L U G u X L l m G B T m o O z c u V N K S k r k e 6 2 z I P h V V r 6 h t K R 4 r v 7 c x x h 4 6 9 R + B 6 W o u E h y V K V c T S R 8 e f 5 6 N F q J G 7 J L 6 m R k H P t p 0 j Q a x X 4 4 s F s v g s 7 5 Q b 0 e 9 a T W s o A J T j x O 0 + e 4 J 6 I A 6 c K j G n q T j V 3 m V + U W Q q J M y Z H N I f U K o i U M q L O r 2 x C t n e t 0 6 d I V 3 d 8 Z J o n 4 R k u E f g y r / c W 1 2 E x I H J g j J z f X S K c B t Z M K V K 3 j x Y M I / W x 9 q u y r G F D D 3 h n 8 t M 9 g w L h d e + 6 S s j J p G M i R 1 I G 7 U r d h k / l b E G g n L 7 N a F z / g v s e P f y d 7 9 r w i h S p 1 o o H 6 C I r O A F 9 9 9 Y 2 8 r 5 K N e k N C D i r j H z 9 2 U j 7 4 4 K i R V D b v B a r k R x 9 9 a L 6 F q T X e 2 Q D 2 + 9 h S e G f 7 3 n 1 D o 3 L 9 6 X z v 4 0 o g 4 c s L q 8 N Q a Y W 7 V T 9 3 Q k Q s Q w E a J Y h x g s 4 F A b W M E K O 1 B V N a k e 5 J F 9 7 I B g v m 9 r y q E q 1 1 I F G e 9 6 o + n j V t V D x A 1 D i 3 Y B y J a R y x M t b O g m a 1 l Q p M z + s H A b U X z l 9 S B p + W A w f e l q a m Z v P t a 9 b U m F 4 c z 1 V Z m e M c 4 L w l H k s M l h m 8 A 7 1 e I J 2 C n m s Z g W q 8 V D 8 r u 6 o T z b Q R w P 9 t V d H x j C g B + x 0 R P J e o C M a P h l R t z H Z D j T i P 6 t e t 7 3 3 n z n 1 5 9 d V X 1 E Z c / p T 0 R w 8 f S q G q x s e O n Z C c 7 C y j O m L P I f n e e u s N I / 2 x L 2 E o Q J 0 w U G 7 D v Y B l J m A Z y r y v 0 t z Z B 0 3 m / E p j 1 R g q M W e 3 9 m 7 O m A m N z Y d S g N 1 6 E X T O j z d q x + f s H C + I E e s d S Q i b w k 0 S S s Z a 9 t Z M G o N 5 z Z o 1 c z 1 t E I h M / 4 6 U X S 6 Y o 4 S L n C k g J 5 + k G c f E r i o n 9 V b C 1 J C c P X t e t m / f O i / v X n 9 / v / l e 1 C f b 2 P T W 9 P T f f X d S P v n k I 8 N E g / 1 9 U l 4 5 3 + X c 8 O y J l J Z X K J N l m v v g N v d 6 v 7 w S w w u b F Z Z w I q a g X 3 m e a u y P n R V O p i a L 5 q Z G q a p 2 1 E M v b P 3 D P N g u 5 t 3 1 X I d 2 E J 0 d H Z K h z E 0 u j S B m X i p a W l o k L y / X S N U U Z R 6 L r u 4 u y c 7 K M h L s y p X r K u V 3 G H s t 3 z f L 2 N a v Z S w Y i j j M u r q 1 c r + p U z r 6 I 9 t s 8 U L C V 6 v A U G l F u 5 V o Q t L J M p M t f g S d C w J j J z D J O + v H J T G B n H L O + e O P w l W 9 T a V T Z h 4 N e P z 4 s R Q X F 4 f s g w h A 3 0 f d Y h J b E N o 6 e u X s 6 V O y f t 1 a q V F p A 1 H T e L t 2 h X L H M b U d a b N + / b p 5 h E c 9 f P / 9 W T l 0 6 I B 7 J h z d S r h j 4 2 O S p Y S b V 1 A 4 R y z U T f P z R i l z x 3 a C m I l M R q i B M J T + Q n 8 j x p l S X T B j Z r / 6 s V B k B I 4 N 1 E 0 m Q T 5 U S Y L 9 w 3 O t F F 1 J M F i f Z l S 7 W b l 2 7 b p K x D 3 a S f V p 2 6 S Z W D + c H 1 5 Y Z r L l 3 r 3 7 s n X b V j M A f m 4 V p J T W C A 2 1 s k U 7 u Z g Y C U Q 6 H w Q 7 u n 9 K J c a J x + k m J f F p V d P I f 0 D 8 2 k B / t 7 x W q Q Z 6 r j M N o q u r S y v 4 w Y L M B C w z R E J 5 a Y H 8 / O c / k R 0 7 d x j G 6 + v r N + N N 1 u i H + C C 4 T Z s 2 B v b i R G + X l g a 7 f 1 u a m q R I D f a q 6 h r D G N 5 U X / y O A F Q I m s J A b V N j v X Y A T m J J 6 j k r O 0 e f m S x d n R 3 y v O G Z O c c Q w s T I k L S q L c b 4 D / W M d O P e R K 5 H g + 1 U U F G H h 0 e l u b l 5 j s F X G j a X B c 9 b p 5 0 X y F P J R N t g t 8 F c f l j 6 Q t 1 G b T R U m J C o 6 i F S L 0 S X K 1 F W 3 G 2 e X b 5 L 1 T z H e 7 Q Y Z o k V 3 n b l / v R o D L i m d Z 6 Q o 5 u n l T g b 5 M s v v j Y E D + H / 8 I c f u 1 d H B o 1 Q p k Z 7 L D 0 w z E I e c 7 x Z 2 7 Q n / O a b 4 2 a K A a q e d 1 E A P 5 g K 0 t v T Y 4 j a A i Z E x a q s D v 1 u a n r K 2 C 9 8 G 6 o h E d V e M F B b v W a t S b 8 F 7 D s T b 8 f E w Z p a R z q W q k 3 Y O Z F n I i g Y Q 4 J A Y U h m + O L p 8 + c 9 9 8 J 2 E v x m 6 7 b N 0 t j Y Z G y / 1 Q K R / o A c i F 7 w X f 3 9 z m R G 2 s y G Y 1 n Q w e 3 a t c M 9 m p V 9 G y r C a H M l y o r L b L 4 v k n S y 2 1 h h 3 p m X Z s c F d p Q x T P V e q b r d X O Y 4 J / A W Y c R v 3 b p Z d u 7 a r u r Y M 0 O M s f S s v F e 0 8 J p I S F L j 5 O j R w / L T n / 5 Y m a l m Q U n I f C g 8 V 9 i V l L H R Y W O v A F t P O T l O l D j v H R S T Z x n S T r 3 A P s O 1 j q v d i 9 z 0 a S l M c 7 y G X n B f C J P w J 5 w P Q S n F w t R B b b I d O 7 Z G H V y N N / a v G Z f h 8 Q T Z s m W r a h j 3 3 L M O q G e k M / V I X b S 3 d + h 2 w q i p M B N R H b Y u p z 3 5 D 1 c K S p s r 9 y + r o F I J M 8 R Q C 2 G h a / g r i f S J J r c u U z L t v F I 1 Y f L W k V y l x p 3 m s G f P b u n u 7 j H P h l i 3 b 9 9 m z s e C M S X K q o C k / g v B N l y s Y M W N g w f f N v F p / I 4 p F + Q G B 9 g 1 f u Z v f t 5 g V F c L J A f f B n A 8 A D x h q I l 4 5 4 j y t s A R U d + f H Z g s B f A s J C E E y I x b U j B b 8 L d n j x 8 Z C U B H g 9 q 3 2 k i c G Z H n z 5 8 H 2 r R 0 C D / + 8 Q + N l M Z 7 O j w 8 I t 9 9 d 8 o 4 c g B 1 a + p S y + Z K t U d X 8 N + K q n z T i c V h z O Q l t s U Q n h c 4 H w C O i I P r n F 6 Z w V 1 / h m N U n 0 e P H s n w y I j c u n U n 4 h h I E G 7 r 9 Q y e L g a o H l e v 3 Z g n A S K B e v m X f / m D f K f M h C 0 F U Q C m e H e 2 t x t P H o S N z W P r q r J 6 j W E Y o t E B z 0 J t 8 z K Z v Q + A q a w E u 9 c 8 Y R L Q e L M x e f N C e E F w L D a Y t 4 0 q a 9 a Y 3 O L X r t / S Z y Y b 9 T N W d A w u X x F 6 r G 2 J h o F 3 1 o / c 3 L y w 7 0 a d x t l D h 2 O / A c m N W p v L Q G 8 A r c a r r K j K R 1 t 6 1 T 3 g b S Q v I p 3 3 o 3 8 s c S 5 G z 7 8 g m R e o e + v W 1 c m 3 3 x z T C s d I D + 6 Z v Y D 4 W N s J A v V L h 4 X A A O d f / P y n M T 0 H c P + M j H T 5 i f a s e M 3 s 8 5 A Q h c W O O k V u 8 I q q a l M 3 J j W X a x 9 V V o c i q X k e x W u L W Y y q C t n b 1 W V U O T P B U e / h h V U v / T D 3 V M Z l G g T e M Z w Y t k P 6 5 O M f G C l B N I h 1 h C y E 0 p w Y R t c X w O Y t W w J V X h B E O z A Z n Q 1 / o z 2 p O 7 5 p a H B + L v d 4 Q l v I w 1 5 x L L n l W 1 Q d c R g p V m a J F U F Z h o J Q V V U l e / f u k V c 9 K b r 8 I B o B F z m h Q 6 z T h F F L p H I Q g U b D x g 3 r 9 D 5 9 c v L U 9 2 b k H w O a e 0 c C d Z K d w z T v Y b V 3 2 o z n j H g 3 4 C d U V C 1 v M n 7 / u 8 G M q H 7 Y T T g L G u u f m f t n Z G R J a U W F U e V q i t P m 7 s G U c l z O A w P 9 p h f H g Q L o / L x g m g k D v 1 y D x 8 x K J Q a Z i 4 u L p K F x d Q Z L Q f t I p m o O t 9 2 j 2 E H d 2 L l U L O q G E 2 d v H a 7 2 c H q N V 0 n 6 6 7 / 9 u 3 + g c 4 x 3 k d Q K b Y i Q d 8 / L V H 4 G 8 x 8 v B C Y B 4 o C I B a h F x 7 4 9 L p W V F Y F q H 8 T E 8 7 d u 3 S J r 1 9 Y a j x 2 S 7 b P P P p e K i n L T K 1 r p E Q n 8 / t t v j h u v 3 t Y t m 8 1 9 I H C y w a I K 4 q y g H m A E 3 o d n f v / 9 G a l W h u c Y o x 8 p i i 1 V V l p i I g a 4 J y r K 6 O i I U c 1 Q 9 R y p M a R q L y t D h d Q 7 C B w 3 M i o Z d g N z i 3 h n r h l U i c 4 0 F n L 9 W e D l 4 1 l 4 F e / e u S / j E + N y 7 t w F u X 7 9 p q x f X 6 f v 6 S z r 2 d P T I 3 / 6 0 5 / N / f F 6 X r 5 8 V e 7 e v a s G / 5 B x W f O d s X h C l 4 r n a u / Z z L t M M W n t n Z a a s p y I 7 e E / b 4 9 x m V N X k J m l x / a B U T 0 f o t e 4 l W 8 u 3 1 o c N c e I h O w d q r d O S V r S l A y N h U s q u 7 X w H w N 9 N 0 M Q Q f A u i x k L I J y r V 6 / L 4 c P v u G d C Y O Q / X R n N 7 4 5 u a W m V k 0 p 0 u 3 b v l G 3 b n J x v 0 f C N q p Z H j h y e I 3 I L n g 1 z Q c D Y c + v q 1 s q D B 4 / k 3 / 2 7 v z J E a 0 F D / + E P f 1 L d / 6 B J C u N H h 9 p V p U r U F o 4 0 w X M 1 Y + L 8 a t f W O X / w 4 E l X s o k Q 8 Q L 1 h 7 p g 4 T c 6 A I j O E t 7 4 + I T c v n 1 H 1 b l G y V H p y b s z z O D t i G g r v g c G X 0 k w R 4 z o j k M b Q l H 7 l y 9 f 1 v p N N r G D Q Y j M U A n G y e O 8 d 6 r p p O 5 1 r E z U R N J f / 8 e / + w d 3 P 2 5 I z c i T y d k 8 8 w E T 2 p 5 B D L M c k B I M 7 1 4 s 4 N n f f n t M 3 n / / v X k V D j B W 0 a t z f S n C k F S b t 2 w y q h s N E C 1 e j W d 0 d 3 V L q U o X P 6 F B j E g P p i 0 w T o X U Y z o H T O N 9 H / b T 0 t P k 4 Y O H 2 v s X G M k I 8 T M 1 g 5 x 3 p N 0 i 3 M e C 6 + l 5 c Z E z H Y J v Q K X j X f p U h e W Z w x M J c z 2 8 R W N j o 5 S X l + p 7 V L j 3 C L 1 D c n K S l J Q U c X P Z p 2 p y b e 2 a e f G D X L 9 S U o k 3 J e c 6 I W P M U W O Z V Q s G t H H t b 9 q 4 M e L z v d 8 C n D w V j p 0 I I 1 J Q n / G C s r D 4 I A t Q x R k r Y k M l Z t a E q X q 2 A L u 1 8 B 3 G B A J X Y w H v c O f O H T l y 9 I h h 7 i D A K G d V 3 Y F 4 s S u 8 g 5 h I k J 0 7 d 2 j P e E 3 6 V E 3 j G j 8 4 d + 7 c e V l b V x u o U l p A B B j J X E N s m b / x w b q 6 O p P / j 4 F h 3 g P m Z N C V 3 x U W F c 9 N X 7 f g f V k 6 k + v o E H g G B Q b r 7 e m S w V H t 0 C b G z D v i Y M B G g w n t I H A Q Y N 4 d 2 7 e Z Z 3 r n V 6 0 G b j S n m u D l o A x M R O r X V F f P 0 w C 8 8 N O W t 4 6 d / V n H 7 a 6 X F W X j 4 A j R b L x K 0 q 9 W w I a a T S 7 V R o w 1 Z 0 T o 7 6 h y 5 K k j h x 4 L K A c B z x 4 J U B Y C z g X s I A i D u T j d 3 V 3 G S e F t E N 4 N t e b p E x I n T h j G e f j o k Z S W O J J m V O 9 x 5 e o 1 W V t b o y p X p y F y 7 A l A A y H d P v / z l / L G G / s X n L 4 Q K 6 z t w v 0 p q J 7 U K R K H m v K + v 1 d l 9 A N b q n U w R S r z E 4 1 H r q H h u U r d T L m q d b F Z 7 T y H w F 4 u 3 G 5 L M W t x e Q f u L b C B i X h B 0 k e D 9 7 s m V I W 1 j h j s V z o b 2 p z B a z y e 3 a N O E E B c y 7 d X b i 9 E 8 Y v G b O Z 2 J b 7 Y I s u 9 x 1 7 b 6 G J j a m B y y l j s J z x S x O K 9 8 8 5 B Q 3 R U Z n t H h x l f q q 6 p M t l G 8 f j Q Y 8 N 4 R I j T i y M 9 2 O I 6 Z 7 o A 8 5 h o S H p q G O n J k 6 d m 4 L B L 1 T v u v 2 P H d q P C x b s n 5 1 m 8 F 1 5 C x l Q I Z y L B 4 / o N 6 8 y z L F N R t 7 x v E G N d U v u D m b i 0 A e N d H 3 / 8 o b G N c J V v 3 r T R v e r l A r O v o 7 U v 9 Y E a V + g u y B 0 E f 0 f B 8 R S 2 k 9 Y Z 9 U V 9 W P X 4 b n v w O N x y k P T X f / v 3 a k P x E v E p K V k l M j m T N c d M X v i Z y Y v e x m t S W 5 o x R x w k + G 8 b S D K L b V n s r p x Y 0 H a C w H 7 9 6 3 8 y E c Y Q O 8 + E A M + c P q v q 1 F 5 j h 1 y 6 e N k M + n I t n i r s B J 5 L D 4 Z k g g E Z Q M S G s G o c k g 6 7 h + 9 i G d D y 8 j L j a C C 0 K Z q k i A S m h 4 x P J U j P K K m H w 7 + J Z y G R Y C a e X 1 F R J v k F + S a / e k d H p 6 o t m e a 8 9 R o C P y G R a 4 / J k l z T 3 9 c v G z a u N 5 H Z 5 L h 4 W Y E q P z S R a K b E B I F v b W p q E W Y + 0 1 a R E C 6 l y O / n 2 J b A 0 I O 2 8 d D w k N r i K T I w D o 2 G 6 H e 5 J e l X / / 3 f x 1 X l S 8 p a q 9 I p f E a u / R g / v O f f 2 5 F u b B G m V l g i Z n 1 Z 1 i 4 i n T H Y G c P C Y 1 T m R i W e n u 4 e Q 5 h f f f 2 t F K u R X 1 1 T L b / 9 7 e 9 l e G j Y h K b g T S t U B s n z e f c Y k 2 p W N e u C E m 9 1 d Z W 5 9 t a t W / K 8 q V m u X L 6 q z J d u p l 0 w D e T f / J u / i D j Y u B B Q a x h s Z e G A L O W J a I P U M B e F a S D Y f E 1 N T c Z p Q k f A 9 / q Z C T B N g 2 Q x d B A P H z 0 0 n c B S G H 8 1 Q R 0 E M R M e P x L V 8 J l E a S C l g r I + W X j r A + b x A p q b m Z l V 0 l c b W W / a P T p p 7 h u v E n d 3 j X b 6 C z J S E C C Y g w c P z B s M f b V 6 Q v I T O + W t 6 t h G 5 a l M x k m Q L t g 4 G P L 9 A 4 M m e B J X 9 d G j 7 8 p 7 7 x 8 x K z c k B f R y u I 0 r V b L 9 4 M P 3 j S 3 D Y C K q 3 6 6 d 2 + U n P / m h b N q 0 S T 7 6 6 A M j r f r V / m K w 0 / + d n E P t R H V E Q k T D q 9 W T 4 c v s R A H f h l R t b W k P i 2 m z k x g t m P z I g m o 8 u 7 W l W e t h U j K 1 f v + 1 g k m k L O x N P j 4 y 4 2 J O L B b h b T S r a n X 8 1 T 2 Q 9 K u / / R / i q v L N J J G + K t x u W g i H N z i p k 8 + f v 6 S M U D O v J y 3 J S Z K G + g Y z O r 8 Q s D 2 O H z 9 p I o 2 J 9 m a 8 p b q 6 2 g z c 0 q P T Y y M B W V O I A d 8 C l V 7 W X m H G a I s S K 3 k f k D x I A 1 R C f s M 7 W T U D h m l p b Z V O V b + e P H 6 q t t U z f Z Y z T A A T f f 7 5 l 2 Z E H g Y 4 9 f 0 Z M 9 4 T T T r g 2 Y o V v C t V 7 Z 1 Y l 6 q S G O d K S l q G q U f c 5 S O j E / K o O 9 1 E S N y 4 e d O o v 3 4 X e L w A L z M 3 z Z s M N J 5 o b 2 + T r 7 8 5 Z o K H W b L m z p 2 7 x l M a C U E S 2 5 6 z m h P u d L b d o z i 4 + F t 8 S t w l F D w U x E y R m A t i I r A V q b J v 3 6 t G l f E D M X / r 9 m 0 z F g H R R g P E f u D A m 0 b d A x A e l e k n a G L m K i o r 5 t 7 V M V h n Z P v 2 L e 4 V w e D + S L v 9 r + 1 T t f E d + e D D D + T g O 2 + r N J i S 5 u Y W w 3 Q / / / l P 5 f G j J 4 Z p D 7 1 z 0 D B Y t 0 q 7 5 Y J 3 R J I T g e G t T 1 I W D y Y U z 6 W i 7 m h 8 I I n T w 7 I u p 0 d G p t P l x z / 6 R G 5 c v 6 m S r M 9 4 K u M J V P J z D W l S 3 x v f g V 5 S k N H J E Y Z F S F f O t l 9 o f V Y b + 3 G n a g v R 4 K 0 b U g Z Y 2 P O h v 6 s 9 5 V R Z 3 B D X F Q w z i z Z q o 4 c + x v t h f t i / v V 0 3 b l Q z R s G Z z h A J J O d A H c P T 5 s W U j 7 + Y h u 6 P e v C D j D l X n z v 5 7 r g W l z d R 3 0 i u S 5 c u R 1 T T O P / t s e / M u 1 j G N 9 + t P T 8 S Y M u W z S Y 1 F t L t l V d 2 G i 8 i S S 6 J o B h w J 8 I t h E h V N q 6 M Q D 5 v k p b U 1 d X q c / X B C t S 7 x w N F 8 r T T + S 0 e r P U b N 5 n w I 9 K U Z S W N S P 9 k p m z f s U 2 e N z 4 3 n Q H S L F 5 g L S z a c E 9 V / B g V p s f N / 0 j t V D M x t H i 7 5 G Y k a c c 7 K 0 + f 1 i 9 q i M I u i O A F L n N H V R e p z S W f + n x a X m o x T g n 3 O c t H a p l W h t P b w z C 2 R M I e t R 8 w Q r / 6 8 h s 5 c P D t O a k S B C Q M q t O J E 9 8 b t f D 5 Q I Y y B T n E k 4 3 B m p f h P A f b 4 s y Z 8 5 J e v N E Y / d 6 s O I D M s O f r U 2 V s Z F A K U 4 f l t K p k v d r D v / X m G 8 o U F U Z 1 g x F g L i o d p 4 Q z Y W 3 Q h O z s V S k a y x R 6 G A 7 J x B R 4 7 n X y 5 C m z H 8 k 7 h X M C 0 4 D F r 9 c V h / c S 2 E 2 / + + 3 v T Z D v l i 2 b T F y d d Z 2 j 4 v W P J 8 v e m i l J T s C z y m R F Z + E B w D Y z Z U b 6 p g t k Y 2 2 J r N G 6 + / K r b 2 T D B m b y M k V D j H R h L S u G K W 6 1 p k q v S h 0 W p l 4 I 1 5 t T z a L b A G K K B 6 A d 5 q O h 2 m 3 Y s M G o 3 Q W Z s 3 P z 3 J i K g 3 N m I X j V P t q P + r L 0 y N + c Y 8 f u 7 D W e v v h A G S p + N t R s S r E 2 v s N Q l I W w p d Q Z x G t t a 5 O N W n m x A G Y i s P R J R 4 J k 5 T n T H E h G C R E y t e P U A 3 2 T / E 3 S O 5 Y i z 3 u T 5 h H n u W e p z g B p a p a M J V f I g b 1 1 U l J c I I M D g 0 p 8 S X P M c u 3 a D R N z h 3 s c V z U T 6 9 Z v W G + W z I k F N B g S M C 0 t 1 U g s J / t Q 5 K Q v r O 5 R l T 8 z 7 3 0 R + A / b t Y 7 a O y W t Y q 8 U q T 2 Z n h r O l L i b I R K Y l U g H J h a S d 8 G C 8 0 n T A z I 0 l S G 5 m c k q 1 U i o n y x Z m V k m A y + d z M x s g t p e z n 2 J 5 m e A P R J Q u 1 H F z p w 5 K 2 v K 8 0 2 H 4 S X g p a K + / p l 8 + + 1 3 0 q K q M + q y X / 1 H Z R 1 O z p F K k 2 I 5 O r z v Y z s x O g / b 2 a M m J 2 s n P a s V 3 D c O R Y T o e D k l 6 V f / S R k q + G + L L r P J M F S s E R L K H A X T S s h 9 U l H u R H X H A i Q V 0 e D N o 0 V z v T R 4 2 p 1 s E v e n q I j 3 n i c u D P c 7 4 L 0 g T u w n c 6 y v W J S d J N 1 t z + R Z f b 1 x t T P W g 9 3 F A C 5 x X z g z Y D K m d h C G t B j C 6 e r q N D b P P / 3 T b 6 W a + 6 m U K y o p M x 2 A d z y N C X i V b s Z a L x q 0 Q 2 A l j 8 G J F D m 4 p 0 I y x p t k b L B X 0 t I z 5 i S Q H 0 i o / P z 5 K h H L g R b k p J v F 4 f I z E + R P 3 1 y Q 1 s k K 0 7 H 4 w S d G Y i i m l p 8 9 e 8 E Q 6 f r N O 6 S / q 8 W o w X m 5 O a b z s L F z X i B h K d 5 2 C Q L O J N I 4 o z o H 2 d K o / P t 2 R r d x L W w 7 D S r j M J v Z S C f + 6 X Z G i 2 U y T J S + S W 0 L l 4 a X W 5 L + R i V U w P k l l e m k Y q N u m J d f g K G Q T I S Z E N o T t L K 6 H z d V J W l W h r n b n i L P u l M W b B y L A l U F y 9 z V A f H A d f S p k Z o c I q K s t F n J T h 5 T d b L G h L W g l v H u 2 F K o e / S U M A X B r / T q s U Z F Q E A X L 1 4 2 H k a k H P d B f b n Y l G s Y n w 6 A i Z J I p k q V T L w h d c I U 9 Z s t K U Y F J F D U Y n v F r M k a i 1 0 E M Z C p i G B R G K u l u d n U B w l d e r V T Y B 6 T n / H 7 e n r M v C i k e H 5 O h v S m b Z f E F G e Z z i C s L Q x P H E o + B l J y P X z 4 W P b t 2 6 P f U y X j M + m y t q p Q t m i 9 0 V m d O n n a D E D b 8 T F s T o Y e G F S / c e v 2 3 B S a o E 6 J O k e l Z g w x y C P K 3 x / c f y B 1 2 p n G A v s M A m H Z t z Q J M x E l w 7 t R E r T S B 9 T 8 4 + p 4 F K 3 N o N O L L w n a 6 + t 7 z r 2 4 F / 5 j g E 6 M F 2 f 7 t q 3 u m c h g T a G O 4 S T p G X X m t M Q C 6 8 J l F Q 0 L I g + O 7 g q P K m e e D b a E T Y T v R E Q U y Z t q U 7 H K I D 0 l D Y J R j + o X K y B 6 7 C 6 S 4 k N I q R m 5 c r G 1 O G y F c 9 b m h b F Y B R 7 1 l D V 4 7 7 c n B 0 6 g x J t m w b 3 J V c 5 M 2 q d q u M O w J H h J T 0 u X t A j j T Q X 6 T T B F q z I z 6 2 h x D y u p L f I z Z 0 y + D l I L + K u Z j h I V + P D h g 2 Y 2 L H V i v Y r U G Q P y H 3 / y k f H I I U m a m 5 u M D U k A 7 8 F D B + R n P / 2 x P H / e Z J J 7 B o E h C 5 w R a C r N u g + x W 4 8 k H e H 1 6 z f k 0 L v z p 9 9 E A j Q X 6 N H U 8 0 T w M z h s b H b 9 0 K z k c F p e T o l b T o m c k v k L X P G n I P C x q D O f X e p d 0 M A / W 5 9 m Q n T m Q M / j 9 j 6 R Q K 5 y a 8 T e U G K 1 s G L e r t o O k A h 4 4 k 6 f O W d s A w v c r S S w t D 0 d E u D + g 4 d y 9 + 5 9 M 5 C 6 M B J k w / r 1 Z o 9 Y u i + u k Q v P H I a B J J y v 1 k y a R J w H T c J O 9 w 8 e 4 L j x v r M F e d P X q e 2 Z q B 1 C Y X G p k V j U J + 9 s 8 0 5 Y M I m R j g M J F Q Q + c 7 1 K J Z 5 P x I L f n W y k h v m A 0 B + Q Y l 5 Q v 0 h 5 p r H w r A 8 + e E / q 6 u q M r Q b x o j I z k d J P 6 B x f u X x N M j I z T A b e o c E h r e d 7 Z n g A s I I H c 6 C S f B 3 A Q v B K O j z J F n h A W X + K r 4 E W c 7 V + L R 0 v t y T 9 D T Z U H J C U U S 6 j o 7 F 7 + E B m d s E 8 I 9 y P B x 0 R P H 9 R G I t 7 X l L b w 6 J O j 7 1 X Y s N Y A x x 0 j a R K f s q Q Z G d l q n r n 2 H L 0 t I 2 N z 4 0 t B W i c j R v W y 9 O n z 4 y k i + R c s I C o y y v K j T 2 G T Y A n L T V 1 v p 1 I 9 i a c C h A y m Y n y V U U t U E m x u 4 o 8 C C L b y q d k r e / 9 Y X y I F 9 U O m y b I / i T J D J 0 C K h 1 J P 1 E N R y Y T t Q M J t r 3 I e 5 7 s c n O k g W Z t X V M / q G 3 R g F S n + L 2 2 1 E l W l q M + o 4 p Z O 5 C o k r p 1 a 7 U D q j M e T N T k + m f 1 h o l M P a q N H c l m j A b b G Q I 6 R L y 2 9 h y 2 E w 4 J I i 8 S l E 6 H Z h b H r J G g V R i f f 2 o y x M R E Y f B 8 c C x g 2 R o Q 1 o t z D 9 9 9 W B X Q i 0 s N 4 T q 5 / 7 F E F r Q n b 5 f L l 6 + Y D g H V 7 u u v v z U u a i + w i 7 o 6 u 0 w G W n p V / 7 d C 6 D Q a 1 w E a s W c y T y 6 0 F C n x h 6 u a F j g J n r q r G q I O t u i 7 3 2 1 L M Q s d P O 5 M N i u 0 2 9 f F S V L / 9 I n J g 8 6 z u T 8 p k i P V O W M w b S 3 N 2 v O T 2 D J R L j 0 N d j T A 1 M V Z M 7 K + e D J s a V A / U C 2 H 1 K 5 c D n h f J N G V K 1 f N 4 O 3 9 B w + M K x y 7 6 / r 1 W 2 a q D W F h c / n U F Q y Y L x a o 2 1 5 Q R 6 Y j 0 H s 6 1 a W 0 q v + M 1 g I J x e l f O O U t A 9 h P S 0 U Q O Y w q k R P O n 5 M W y l m O V 4 7 G D 6 Q f r a j i b O d a C N K L g b F w D t p a N p + w U t O z 5 O 5 j J 1 E K O j x T v 7 u 6 w q M b a G B W q a B x P v v z 5 2 a K B y F I q I D 3 7 9 + X / / f / + f / k u N o I J G r B G O c 6 n A s L A f W K d z z 5 O M 3 Y O F 4 0 9 y f K B e 0 Q G M A l Z 8 T a d e u 1 v h L k y a M H h n G x N b A x g i J I 6 B y K S 0 r c I 5 E 9 a 4 O l P Q P d q L 7 + p U H 9 w I P X 1 h Z a A Z H v I y y I U C C m n N i O J B r o B E p K S k 1 o V q f W b 0 1 1 j Q k p G x g Y l L f f f k u / M U v b o M c 4 J 7 g / 2 a T s H L T F w O s 8 4 j 5 z W 7 P v 0 B C z D n p 6 e k 1 n E y 8 k / c 3 f / Y / x c Z u n F G m v H b u 6 B 8 h b 3 T a k t k l 7 i p E 6 2 A k w z b O e Z L n Z 6 k g V G p t z g N 5 8 e p a H B W N z 6 a R R k V B t m A b g B c G i a S 5 t 8 6 w i P c Z d z f i L c 0 7 V k d K N c u n E p 3 L w w B s m c P b a 9 e t y 7 e p N O X v + g u x 9 d Y / p z R o a G 4 3 q h z 1 Q U l I s U x O T c v f e f R O M + 9 r + 1 4 y X E G c G S U + e N b b K b N b C i U y I g 8 O D G Q k T a k M y g D 2 u d Y F 6 i P p T U F h k V C p z b 6 3 r v t 4 e w 3 D U + 5 g S o D l W o m J i J Z M n 2 1 t b p K y k Q L 8 5 y d R p E D q 1 L a z t G Q S e S 6 S G T R q K U + n X v / 5 n 2 b 9 / n 3 Y i p + X y p S u y Q e s m y E v n x a Q + v 7 q q 3 L j 3 m 4 c y Z N u 6 U j P l p k 2 Z 8 8 i R d 0 0 k C B 7 F C x c u y c c f f 2 Q k y z f f f G u G S 2 D I a M D Z w D V 0 f l 6 V z 5 o i q H r s z 8 w 6 9 Q i z k j 9 j e F a J g 8 u X W R J O 3 n y w M O X H g J m M T a r u O C m F K V 6 m 8 j O X P S Z k 5 c y z c H 2 c 9 1 r q C + G h g l l Y b o Z G s 0 h O m N T e N 9 l k l v V n S / K v I U V Y y v 6 q H j l 3 9 p z R 7 X / x i 7 8 w 9 g D E Q 6 o v e u j X X 3 8 t z I 7 g e 7 y N B / q H p + R e 8 5 Q M z s S W / j l W o J p t L h o w q y P i z r e x i o A E m S y k B r C t y G 5 k C b C r o 1 2 K S 8 t M F A T J T 4 L A X b D f m C Z j F / 4 G t K e 9 z w m V w G + + 9 b p + s 8 h X J 2 / I w d c 2 m E F k 3 o F 3 e v z 4 q Y n J J G M T T h I b k D s 4 N i U 5 3 t R L P v z x j 5 8 Z A i f t G + F g f J s f p H c j m i U a U M U t Q 9 t 6 g Y E Y z O a d + B b W e M b j i X Q f G x s 3 U z w 6 p 6 P b h b E i 6 T / 8 p / 8 c l 0 i J W Z V Q R E l 4 G S k a c t J n j Z e o U Y 1 k K 4 G W C 5 v h 5 3 F X u G o z I 0 o M W r m s U O g d s C R C A K n n B Y R z 9 9 5 j e e / A T q m q r p I O t Z l Y R u V Z f Y O J L m f x L 3 / U d h D D n H 6 W I R O y c A q y x Y L U A M 8 7 h q T n + R 3 j I M E T h p O k V y V R R p b j C E B q j a u x n a I q 2 s Q k u S k Y t 0 s 2 B E u H 0 x g l k J W 5 Z 9 Q T 7 v y K z C F p b n o u n 3 7 6 m U q T P N O T Z 2 Z l G K J s a e u W D q m V u q o C y U x z p A G O B g b G n z x + o r Q w K W f P n D e S H K T 5 U / t 6 8 J v f / L P p p P b u d Y K j + Y a g T o o 5 U E x H 8 S f U w a a l T f g N 3 2 j B 7 y 0 t M v Z k p R M h R + w z F M A C e H g e R 2 a h G Y e W l 1 M S T t 5 6 G B d y n k 7 b q N w e X U I R 3 F i l K k V N 3 p R x z V o 0 K 1 H f 8 9 k 9 i 0 W B q o t 7 a y Y M k 1 x p i q x y J O k 7 v O t J T U U k x a 2 W c A I b G u y T j 3 c l G W O Y n H o M y N I Q 9 c p U q H n + R d X 8 Y B C 6 Y y h + e r k f x K b l Z C R K U e a U V G e T s H L Q j E m x K g Z B u H v 3 7 T E B p I 0 N D W Y 1 Q D L N d n W 2 S 1 m 5 8 9 6 R 0 g t 4 k Z E w L P 2 P v p H 8 N a / K K + t z z c r t T L 6 s q a m S 4 Z E x 8 w 5 p W Y V S V R p O 3 P T 6 1 r t H u 7 M C R r S B e + q V Y F 0 k v l c q 2 T z m N h D 2 y y + / N p L v z J l z R v W z j O o F z / M y o W U o I 6 G U J t k y H Z 5 s u G z J O T H N 4 g h K i s q S 7 q + W h 7 g z F I Z p X v q U 9 A x 7 e g d 3 a / M F 2 G M v T t 5 X E Z w Y C j e h X j D W F z K U v e A 3 A b e e h + 3 l k 2 Z 6 u A U S 8 v i j 9 L k f 5 6 b P y P 7 a S Z N r 7 + 2 3 3 5 y T S B j / j d r Q 2 7 Z u N d 9 A b 2 g b k M Y y S T N 1 / 2 F 3 t g x M Z i 5 o O 8 U D B P / a 3 H W 8 A w O p v D f v v G 7 d O r M C O 8 T / 7 p E j J q + C h V k 9 n + / 1 E K A F 3 9 Z y 7 5 T k V 2 6 S r P x y K c q a l d 0 V Y 3 L j x g 2 p f 9 Z o n s G C 0 C z I s J A K x v w t 6 i G a X c U Y 0 e n T Z + T o 0 S P m m O d T y E V Y r v e H k W E u m I p F A Q B Z q H h z x q 3 s M q H 8 x i / V g O n k t W 6 8 K t + k S t C H D x 9 J n U l K O i P d C d G H Q W J F w q l b j 2 I g w Y U x l b Z B b a j I i V l q C q Z k c 4 m j b t n z X m C v o D v j 6 m U G q 1 d D u N e e r E Z 7 Z D V l s Y B R 3 1 V 7 C + A R x J k B 7 b N g G 7 C M z 2 D v l s 0 k N E k w D U D v z 4 D j y P C I p G e k y + 5 X d p t M r 3 w P W V V J 1 V V a X i a N 9 Y 2 S u O Y D y c 1 f n f w N z G o u V K K 3 o P 4 t M 2 N 0 f 6 G E S J b a T Z s 2 z A 3 8 d n b 3 y L G b o 1 J c 5 Q w + + z E + P q J S I 9 R r 4 0 B 6 o 3 Z U x t R G y X b H 6 m L F y M i o H P v 2 m B x + 9 7 B R G 4 O A V x Q p B e P A h A z i J i U n m e 8 4 q / b s l q 1 b j L P H g m u 4 n m 8 h O p 1 k p U G g b b z M Z A u J d p C I / L 2 j o 0 O S S m M L a V o I S f / h 7 7 C h l o + Z 5 E L l f I e R V D b p 1 v 2 D i / 1 r A s J A P G B 1 e A Y o U b H C x p k U e L a w f S j o 9 s s F r w a B M L U a b y I e t D q 1 5 / A u A m t n M V 2 k t b X N M B M E i Z H N I C 1 e L t Q Y B i i Z n 9 P 4 v N H Y K N t 3 b D e p m L d s 2 y I t w 9 E j o o l + Y M o J a Z L t N B M + O 5 o X M x I S E 2 a k I N 0 J 1 c E G 9 E p G j s m Y 1 N T c L A 8 e P D S q Y W Z m h n y l T P b x o R 3 S O h z c M / u D X A n m L c + d k Y z U x d c / K i A R F L Q t m Z e I U i c c i / e E I S i 0 P Z K D a + k E k L C c Z / 4 W 9 V 3 i L q B g 4 d U O 2 D 9 / 4 a L J A e I H 9 E i h k 3 F s q F k Z V A n L F B Z m Y + t N T E h U d k l 0 N T 5 W J J y 6 H S c J l R p d Q n n T Q 9 n z X t y 7 f 1 + J c e F I Y u L f C E W C + M N C k h Y J C O T N t e O O 6 u P D p p J J q c m f k j / / + Y v A F Q + x j 2 B C P I k w I g u Z s U D A x x / / Y M 5 + Y J D 2 j k q / v p E E V V v D 3 7 O 6 Y N p M X Q k C 6 m d j b 5 I w q B s L h o c G Z P L 5 d z I z P q T 1 P i 3 7 X 9 9 v J j t i y 6 C a t b a 1 q y 3 V a L L W E v D 7 w Q d H 5 c R 3 p 1 Q F P G w m Q 4 5 o P 3 e 2 P r L E I a 4 P 2 5 c o j n i C 9 0 N y 9 H R 3 G 5 v U e u c I K G Z A 3 U 4 S Z S p H Z V U w s W N e W C c E G g I 2 l h 9 e 6 Q R d w r R X r l 4 1 3 0 4 G K J w 2 U 5 N T M p Q e n 7 y K y l C P 4 8 R Q 6 8 M Y K j t t W g Z G H U J K S 5 6 R A 3 X z p y J 7 Q W Q C s V + L h c M Q 3 G 9 x z I W E O q D E g s r X 4 v P 0 7 S 7 t l 7 M n v z F J W b z g W Y f W j 0 l T f 5 I 8 8 X g S h w Z 6 5 M i O b G N 7 n X i S p g Z v 6 F 2 8 H Q k M i E 0 Y S w 4 J s g Q T K N s z k q R E 4 Z 4 M w P a y M c l N c U K L 6 L H x R h L d z b g Y E h a 7 r r K S 3 I G 5 c q s l R f Z v z J g 3 6 Z I w L T o n G + z q R b Q 8 e c s F t h N M j x 1 k a C Y 7 2 y T R 8 Q J 7 8 P 3 3 j 7 p H D o i C Q M 3 z S y 3 m U r 3 3 X u j 3 0 B n 3 d d Q 8 J J T D W P z + / v 0 H J m c 9 w y H J K c k y k B I 5 1 f Z i k P B 9 n B h q U h n K 6 + V j Y b T a g k l D 5 m y 9 8 D I U + x D C s e P f y d E j 4 Z V p w X K Q 3 S P O n C F 6 S y 8 w W N H R m R 7 R N Z x o Z p F a o B E c V V u J g F B v b B / A h m K h 6 w D e N r 3 x u x v m E x I M h f 2 V o s z o j w j P y 5 i R X R W T J j I e g k V C v V 4 7 Y f K w L x f 9 o 0 S l J 0 l d 0 b R Z X G 5 Q 6 4 P B Y G / u b y / o 5 R l s B a 3 9 i T L U / k A 2 R k l u S R q B E 0 8 i S y l U 7 p 0 V E / N U 8 e X i q k q K P X v 2 m P a P B n I o b t z o v D 8 e O n 9 q M A s i 1 q 0 H F r o K Y q g 2 l d h m m K G v V z I z M k 2 o G G F O Q 6 n x Y a i 4 R Z t 7 6 w S C Q l V o f X B m X k S y F + i u u E H 5 K E R + J D B n i W h s X N 5 + M L M W Z g I M e n o B s z T 0 s C T K j O l p K T A K k o k 8 2 k H M B J A I / g F n C x w m l p n s J + N A I U s r Q w E 8 A y n G N h 7 M B G B W 0 g U Q S U I 9 5 5 o x v G B m A i w I Y J G s P c D D k T U m w i E S r n k 6 o S A U Z 9 F B u g d x A p I n F m Y C 2 F 0 A K Y o d 6 w X O C a Q w i y a g x n l h m c p p Z 2 f V E D y 1 x B G S j 9 F E s + v j u c Z L y 8 s p c d O M v f W C b Y I k e e v N 1 4 3 0 A N e u 3 5 D n T a H l L d k 2 K U M R x 0 U y y r 7 e 6 E v 7 A 8 8 j 5 k D O P C / 8 u R A e q W r m t W G + U 6 n E f C B 6 + G g g + p q e 2 w t / 2 1 t + X F s 4 G R d n S b y A i v S H 3 3 9 q 7 L q C 9 H F V t 0 l f H N 4 D k 7 w T O w Z 4 I + + D c K 8 9 R e s t s h f N t u l i g L o X C z O B f X v 3 m i 3 h W T g y v J 0 v z g y T Y V e 3 Z M 6 y 4 N u + / f a 4 o T s 8 j L j I z 5 2 / Y N K P k V M R t z v h R w x + L + X 9 I y H p v / v 7 / y k u k R I J K j J p H 0 T s x u L J u Z c k + J B 9 c j E Q L o / b m b E c P E 7 o + c R + U R i s 8 4 b z x A o 8 R 9 Y w p Q f D E e A H D g Q k H L 1 s r I T P V 5 E c B F s L w J T E 1 D H L 1 o 9 X q i Z N d I F 3 b O t F A i L D z c y k v E e P n 8 h D 7 Y l J b I J T A s / W b 3 / 7 O 5 M C j X l G 5 L q L p U 5 m Z 8 P z T O C J I 7 c H 7 U 0 2 J i I O m F d G q g C i K o J C h 7 w g o J b 0 A r E A x w r 3 J i w K Y H c R 0 E o O E G j L M i b P h G n I B U + H 8 Z O f / N g M a x D x w o T M G t 1 y P c 6 P + m c N k p 2 T Z d z 0 z C B I y U O 6 h e h 5 q S X h 9 N 0 n c W H P 2 Y x 1 + q E z U p Y 1 J p t L J k x F s 3 o f Y R 3 o t n Y A k P E m e h k + i g q w M W K x 4 n 5 H i m w p d X p W e 3 9 b o R N K z 6 c i 2 A L Y R U R S k F U o V m A 7 7 F D b 4 b t H 6 c Y W o 8 5 4 U p B n E K y k A b 9 Y k E 7 N m e i X J B c v X J a t 2 z a r a j 2 m d s s 1 k 7 c B M H u 2 a s f 7 Z q X A W G C / D 8 m H 8 4 B 7 e 6 U M b U 7 b E n 5 E O x P Y i i T y z 9 c i o h + p Y j v C a C B i g k g V H B Y W T L d p a 3 o q 9 7 R z / v i j H 0 i i z w U J 0 / B c 3 g 8 1 L 2 R H T c u n n / 5 J / z Y h H 3 3 8 s Z w 7 d 9 a s g 4 X K m F I R P B 6 3 W E S X 9 Y s A f E H l b i l 1 e m k + 6 M H D h + b j L l 2 + a s 4 B 9 F z C S a i g x T I T w K U N u r R R s B W 8 D R p t m V D s o s U w E x 6 7 D S p p c U J A S K 2 D S X M 5 H r w 5 1 p F 6 v A L j S U u B V k / M C J K O f n C / E 6 q e 4 e F D O 4 C Y C W Y d M Z P r R H 7 6 0 x + b O q P Q F i l D D x f 1 E n j F U C m t V 9 E L O / 6 1 f / 9 r 8 s k n E K y z 7 h b F o r W 1 1 U i F W J i J 3 9 H p e p k J 4 C V d r x o N y w j B T N 1 d X e 5 f H E B z 0 B Z b W 7 7 + + p i Z k v / J J x 8 Z t a 9 r O E F y 3 a k 4 p m L i B K 0 B b r b 8 4 g 6 / a K U 6 W x w N r + 3 b a w b x N s S Q R y 1 W W O N 4 e D p L d v j i u R j D i R e I d T t X H 1 J B C z N m 5 H p L q v G 4 3 W p N m Z u I x z N p k 5 3 l I S a L F T C 5 C X m K E d m p 0 Z 0 c O F J I C 3 Z 4 g 9 q w S r B 2 C j l j Y 7 V r c K O H p y k g A y u q d q w E d f o s q 3 9 0 z T H O Q i C Q G G Z g 5 r M F K Q T 8 E i s S + I a 7 d + 6 5 R w 6 o M w q w 6 R O K i o u N z Q S z W w a C / u x Y H I P D J B v 9 w Q 8 + M H / j a y e n d V u 4 b e 5 6 P z 0 v t R j 6 j E e Z 6 G s w P Z b t j Z 4 8 f W a O X 3 l l t 5 n p i X p m 4 e / Z l o L i n F l V 7 9 K M 7 Q J Q w x Z D n L H C B p G e V m K l 3 l l 3 i U r z O z U W k h 4 k k P Q D T e X o I t T E h a q N 6 T D e + x E 0 C y K p q B b e q R r R k L v 2 L T N X a b E 4 r 3 Y N q z J e V h v u n X c O u G c X B t E z r 6 s U 8 o I 6 s + N o q J 4 W d B p o R a h 3 b B l r q m / p M a b F B x + + b 4 g U x i H r 0 b b t 2 6 Q 8 e 0 q 6 3 X j T x J z i e f S 8 1 B I 3 t 7 n 2 1 a b B m R h G z 9 C r 6 g a g h 2 L U + + q 1 a + Y 4 X n i q x v a h 9 e N S W x D Z L R 8 P E J n N G J Z X T b e O C i 8 e d i Z L u 2 + A 2 A v G c c B i g n 3 9 I D I + U p I V C 9 M U L l h c D r W P N M l d U a L f q U f U 2 k g 2 I P f k H t u W I I U B k R u o m n t V Y 7 G R J L G A M C m / o 4 o 6 s P g Q R l E Q 6 Q A w J e i s e Q Z Z m M p d G 7 J / V G R M 7 U e Y B / c 6 0 z c M c y n z d Q z q 9 T k q 6 S w d L 7 N o L Q e c X W J B E y C s f k I Z C h F r w Q f u 2 B 4 9 w f t i g e v T C 8 Z + V g o Q M V P v L U q y g 7 1 5 g 2 o s M 5 8 o W n 8 f Z V p Q V M D U 9 b 1 J k h H F V o N I G L h k b I Z e e v u 2 b a p i 3 Z W i r B k z M z o W w F S 7 K i e l V L + R W E e O k X r c Y 6 n v j q Q B i 9 V M c C L 4 w Z g Y w H W O S k j n T a Q D I E 6 P O t D / z D Y 9 G c Y R y V F V G c b i 7 8 Q o I q V G x y c M 1 X Y M h d P w c s s S q y g Y M B T 6 9 f e n T s 9 z O D C P i I a O F 2 y s l w V q Q F C q r X j B L v o G r J p p Y f / C 1 H L s q + 9 V F W W R M C 9 i X Q M q E l 5 b M y G v a / E 6 P 5 h H x O Q 6 5 h z 9 7 v d / k P / z v / 3 f Z l w P I j J R 5 l 9 8 a Y Y k 6 I l 3 L E K 6 w E w w 1 R u 1 o X C x p Q L C J s / h U o D z w g 9 r v j E 3 j X t b 5 4 b T m b S Z r Z V A 3 n 3 o k i x Q 2 F Q M 3 1 x p d i Y k w m T x R F x X 3 + B j 6 Y W C Y v K Y P n 7 r 9 h 3 3 a P l A l W Q m r R e 1 6 c 3 m P V Y b t k m Y / Y t L H 8 a 6 0 B h S V c g O i + s d W w a n R h A G P a r c W b X X 6 I F v 3 r x t O i F W L G Q u E G M 9 H O N 2 / v W v f 2 M k P 8 T K G N O m j R v l V 7 / 6 a 2 k a Y K K e s 7 Y V y + r g y W N m 7 0 r B 2 9 E E Y V y l 0 8 5 d 4 Y P v s Q C P 3 I 0 b t 9 w j B 9 C + f R q q G 7 R G w W 6 H O R g m C E k p b 5 n R e h s 1 0 s k e K 1 e Z / c L M a U M z c S t n 7 z + L G 4 v O Z q y V P a W j k j A z a X p F i j m v L 0 5 4 P b o u E / b s u e X i 1 K n v z c L U A A I k 4 h j P E t 6 u h R p 6 K U D 1 s X O m g o B x 7 8 1 l E Q n l O d O y w + N 6 x 5 n i 7 S g J N V q X 2 W q 8 W K h u e M W m Z h J V n X D y I G B X W E 8 b 9 c h S q q + + u i e i 9 8 w s C Z O a M j d R c r X B w O / h w 4 f c o 4 V x + 8 5 d k 1 E 4 m o p I p 2 I l H 3 V A v V i a Q g p R F 6 i M S G r y R v D 9 3 I 9 5 V / d 6 8 m W M Z W u n p 8 y 0 l / V b 5 k / 7 W C q Q K b q J T 0 l O G N f e 2 Z n j A r w V A j N t 3 7 7 V D K K B a J U V K 2 w m U c Y 7 8 O q 8 + e b r 5 h h v F 7 q / d 2 Q / H v B O Q K R Y F 7 5 F L M w E 2 t S w R l r Z 4 t c 6 i t J H T M Y f e l 6 Y A O b B K Y J 6 w 7 i M 1 2 0 N E Z E I M p o r O i 8 v 1 6 i H / / W / / h 8 m g e d S 4 V d j Y w U 5 4 m O F S e P W 1 B K V P u i o v W t E U Q f U C b + h A 6 K O k F Q s g s d C A S x U T t p p f k f U / b j 2 Z e S Y 0 B / K T D L 1 x r P i U 0 I t E w d M j 7 T J 2 D h J 5 h 1 R 7 I V N E 3 z m 9 D n 3 z P K B M U p l k u C D 3 s r / T B i q L s 5 M B S I x w l K Q k x 5 u 9 2 H 4 5 y b 0 G w + W 9 X C h D k a S u B A S C 2 h H A / U C 0 x H 3 S A j P Y u C d 0 k G Q 8 l J Q X R 0 8 n y k I 7 e 0 d + u 3 R p / E w g 9 e 2 N e 3 v L a j B M A 4 a C 2 F p P U N K i + Y 6 N C b H s x e 6 f k b q 1 s Y n y t w i r j Y U p b + 3 2 7 1 1 O E y P o H j r 7 T f M x 8 Q D V J o T 1 6 U P j o D 1 y l B I k 5 c N G Z O t s q v g u X E 0 e I F b P T O 3 O M y p A 9 P h c Q s C d U n u i F j A V O / F 1 P 2 Q 2 n 6 p n g j / y L U c H T t 3 7 p R n T Q s v t M C 7 x b K Y G p 0 D 4 F M c x g g v Z o 5 T s u P V y 8 9 w 5 u i R l I U 5 Z s 4 1 M J X D W C k p h E / N p + O l l r i q f J T y q p o 5 8 e s l d H R c g J Q i f 1 s 8 0 N 3 V Y + L T o j H U y w i W 8 X l 7 e 4 G U l p Q Y S e e H d 8 x r I d D j x r K Y N / G U H 3 7 4 w a L q K j s V V c o 9 W A a g h 8 H u N v c o M n i 3 h d R D v p f Q I Z h B 2 c N l E K f A O N A Z g 7 n O O Z V K 5 j o i d 8 Y l J V E l 1 3 R I Q u n d t I R o N x 4 l r i o f a B 5 M C M t F b R k r 0 W N w E E o P l s s I e f l 5 x r P z r w 2 P u 5 L n 1 M Y g / O n L E 8 b h E g s I Q v W 7 l 4 N U U T y E p D l + U S C 7 L i k F Y O x I I G g 1 2 j s y X Z 7 f W + l t G S P E I E p n + j d s T 6 P e 6 b n p K V L a z U i y 9 l J M 1 7 h Y n 2 K 0 J c 4 x C T b e i F + k h F s G R / p M j + l n F n R b e + 6 t t 9 4 0 3 p f l g v z Y s S I W t Y 9 o A D x 5 1 u l A B M F q g y i M v / z h I a 2 r 6 H 0 d w a 4 k i I S Z q F t g n S L M + f I D g g s a K F 0 t / N V f / c I E p p J t K A h M / C O N M t I l C L j + a W 9 W 5 g B 8 j 9 c e m n O X 6 z l m 4 B q V T s + x w A J / g w k 5 d l Q 9 H B I q 2 Y u y A 2 l 4 O U X l R n z / z U 4 M S q Y 2 s p V M F t 7 F v f B W n f r + j H u 0 d E S P S Z g P m K Q 6 Q u 5 u o s u J B g i 9 s e M G X 2 3 7 i w F c w r c i O Q 8 g G l Y J G R 0 Z l V / + 8 h f i T Y p v Y / L I 3 6 G X h e H 1 1 / e b e L p 4 D q 4 v F n S i O 3 b M j 5 h B G u P N 9 A / W e / H 0 6 d M 5 t 7 9 l I o e R n O G Z T r U P + T a H q e z f Z / Q 3 W c 4 1 u t 8 9 Q L 2 E f r u u j h i + + P 6 L u 8 o H b t 2 8 Z X r D c K Y K b + G D B 9 6 a s 6 u W i n 4 3 + H M x Y O A 1 i E m i u b z J F b F a m J 4 Y N o Q R R H i s S k H 0 P i m L / a F X X j A V 3 5 9 4 B v z o R 5 + Y H B x L k V T N M c 6 Z i g Z m 0 G J P P V G V l 3 c g n z k D / o w l R p J M F i w i A G C E O W n k l q G h Y Z N 4 M y X V C S u C k b g G p 5 U e O d c p U z 3 o y j R b 4 y B D S q 0 A 4 q 7 y U U b z d 5 j G t 4 C p M t I d 9 c w y G K o K 4 0 d e K b Z Y p L h h J 0 u B n 6 m i D Q S X 5 k y b 6 x n f K s u e W Z T T Y D E Y f P y N X L t + c x 4 z Q R h I F + z Q f f v 2 x l R n D z v n B 6 F C t C x o h r f v x I l T i 5 J W p N B e D i B q p q i f P n t O e u s v m P E i s s C y V m 8 s u H X r t l m 2 1 c t I t j B o a 5 j H Z R a Y i V y K V s 1 D M h J P S E o x q / K l M X m O a o x z M a 6 C u J d p c q 1 V m D g z 2 / j l F c 6 q E F 5 s 2 x b b F O h I M H N 5 l g E z C 9 c F K 3 c s B C a 2 1 e X 2 S G 9 P + I S 2 e I D g 2 5 9 9 f F B G R 0 d M i i s A s Z C H g w X g i N Y m n A j V J x Y Q h x c U P 4 i E Y P b 0 4 c P v m N R t q w X o 4 J e / / E s p V U l C p 7 D Y q A 3 G 0 F h t 3 r G b H D W P w W o r r Q z z 6 N Y 5 x u G Q a P a 5 D k x M w 1 w h 6 b R z R 1 U w 7 S 6 z a F 8 b d H q Z R V 8 Y 1 c Q Z s W Z a R 0 K g f k y I / Y M H D v E s B T D t c g C v I 3 k o / q i H S P j i 8 6 / k 5 / u z 5 3 4 X b c W / x Q C p R 1 3 V r q k 1 S S l R j y h V l Z V h G V G v X r 3 h 9 M Z K P N E A 8 z P b O B p w E s R r C C M W Y D v T 5 v / 8 2 9 / L h Q s X 3 b O x g e 9 9 / / 3 3 j K e w R 9 V W j t F y Y B 4 T 8 O o y E 5 L J M B J M R 9 E 6 5 b k 3 W g g C 8 E i o N C S 4 S 6 9 x L C u k v I h U b 9 x j D M J L l 6 6 Y 4 0 i h M e Q W W I r a x 2 i 5 7 X 1 W E 1 u 2 b n b 3 H J B X H M a K 9 g m x M C s 5 / J A e a e l p p r d 9 7 7 0 j Z q o 5 5 7 A 3 k P Z / + t P n 8 u 6 7 7 8 i o q m o t L a 3 y m 9 / 8 1 o R c L R X 0 8 N 4 Q n t U A z / v F X / 7 M 2 I G o f b E A Z n E K Y 2 7 F k q 8 0 Y 8 9 h M 7 H W 8 J x k 0 v o y T K O 0 4 c x 9 c q 6 b m n a Y i 7 8 t 1 p m 1 G K y I D U X p H B 2 W h w 8 f m m B V k 4 z d F c n A y 0 C M e v P 3 x Y J 7 R I t f W w l A 2 J H G U V A f Y S x S q F m 8 p f u c Q 5 2 0 E s 2 f O x C k J E y Z t G s Q G D n S L Z 4 9 e 2 Z y k M N M q H s / + t H H x u Y g p x y 5 C F G h w G e f f b 6 k Y Q j q 7 + u v Q m r f t C 9 l 9 E o C q X H 7 1 p 0 F 7 T g v 4 9 y + f c f k l o c x r D q H j a Q X G E b p 7 + s 3 j G T / R i w f H U 5 T n 8 t k L q N t 3 1 Y Z R q v x L A k X H z e t G L v u q y t V Q 3 L C E A o M w D x / G 5 9 m m Q t Q q T S u 9 9 x C Y N z C 5 h R Y L c B Q h L V E c + 8 u B N q f z K 9 5 6 b M m e w 8 5 1 v / x N / 8 s f / X L X x j V h R 7 W a 1 / 8 4 z / q 3 / 7 q F + 5 R Z A z p e 3 3 z 9 T H 5 + O M P 5 8 1 y j Q a b 5 k 3 S i 8 2 s Y y Q l S 4 O W 5 Q Q 7 I c i N R 6 L N e C T x R H W F s f h m L 1 i B k j F A y 0 z 9 g y N y 4 9 o V e f N N J 2 z N Y a h Q o V 0 c J n I y x E 5 N M 7 C r 5 6 e c R c Q v N a n p w T k t M j M l h 9 5 Z n u 0 e D S v K U G t K K m S q v 8 G I a T K 8 I p h Y S c E y j t 0 C 7 3 4 s s J V J g 6 w W e E e k h T 9 D 6 X K B + l Z W V i p X L l + V / a + / 5 p 5 1 w D e S 7 s u f 8 z s S y L K K 7 b p Q B A n f g v P j b n u K m V D Y m 1 A r m T m h x d O Q p i s J I j z w O q L y e 2 F z w 2 c k z 5 g Y x r y 0 a b l + 4 a R 8 9 N 4 b c 2 0 O 8 4 x N z k r C 7 L Q K B S 8 z a d G / D w 0 O S W p a q m E o F g c 4 9 y x J m Q n b a l r t y h k 5 e G D l G G r F V D 5 K Y 1 e r U e m Q T r t 3 7 z S 5 4 i L B e r Z i B b 0 a P d x q g u / A f R t v w E x E W b O i f B B Q 5 2 L t c E g e y h p M 5 J + D + C K B R J O o T + / u 3 y i J R T v D m A l E C o t a D C K 9 M R o J x T I T K 6 q c f O y E Y t m F F l j 6 t H 0 w Q c 5 d f 2 K Y i e 8 / T 9 i Q b l H d O t R 0 T B B H r b P O B x g L l S 5 d 7 V C O Y b D z 9 c l 6 z l 1 R U 8 8 d O K A 2 s I 9 O 4 1 l W x s v n K a g U T 5 4 4 G Z B Y 7 g W w 7 w d Z R L 0 x g L G A C m P a 8 2 o i I 2 P 5 k / R u + n K J Y 1 + y g t + e P a + 4 Z x z J h O P l d / / y B + O N C 6 q z S E B C k c y S h J N M q P M D 4 r J R + n 2 j k a e G L D e L V K Q 3 f v L k 6 V x K M x a B u N G S K p M e 3 n e Y B q k z K / n l G + S 7 R 6 l y 7 G G q v F o 1 b m w p y s B Y g g y p u c r Y 3 J z d p I x F 6 m / q D t u K B R t C 3 j 5 U W D z O q J c O b a 5 E S b j 0 p H l x u t Y i k Z O e K h t L s 0 1 U h N O L Y B w 6 F Q b s F t B r L U b / B 0 g p O x F v N Y C U J d p 5 O T j 5 W G 0 E z z q / 4 N L l 6 7 J p Y 9 2 c f c Z A r k 1 K u R z A O K i M S H T q l w F O B k K J / 4 O R U S V b h r P k a X d w N i J i G 2 N 9 A 1 Y e Y S G G h a 7 / 7 L M v 5 M O P P j a 2 U h i g C 7 O B P l w 6 M f Q y I 6 9 U j k t u m m M b U W C y T X n t U p z n h B a x V q 6 z D p Q j m f j W y 0 2 q P q r K Z + w n t Z 2 y M p L l j d c 3 O c 9 a I a w 4 Q 4 H N R W l z A Z x e p g J e h g K n T p 2 W g w f f d o 9 i A + E r s Y 6 4 L x d I U b v a x 1 L B j N 2 7 b S l h g 8 m o O 2 / X 9 B p n C 6 E 0 J F d Z L j P F A v J V I K E a J o N T E f M G t B D j b Q w R B G F c f 8 8 C e K y b x Z S P N z y e T i 8 I h 0 r W G 5 6 5 1 y 8 5 + e F r O 4 E w R v I w k 9 1 / f c 2 Y p C R O y 4 n H z i T C A 2 t H j M 0 0 A x M p Q 5 E q j E 4 C h s I x c e 4 p t h M M N a m / n 5 a j R + Y v d B 1 v M H F J a 2 1 l S 3 v v u G k 4 S y B s v f t e L I a I q F R 6 I i p x t e y p F D d l 1 X J A T g n V S M K A Y w B V j S g G l h t d T D 0 s B 0 R v b 6 y r M m F V Q b C v S W J P m P 7 y 8 1 T z 7 v b 9 O f f 9 s z Q Z d t V G J i V a s P I J 6 c + 4 h k I n c r M 1 J Q o z e U s 4 Y 6 G 2 n X 2 W r M y k z 9 d j z g 1 q f 2 T / x j k c V G g r h s n m i j N 9 A 3 t L K 3 X F S 8 K l p y 2 + p l 0 Z G C m l H 0 z v Q d 6 A 9 P Q M J S B H R 6 f S v C D G j x X G v S 5 2 x q p Y 7 x Y v F u H 5 t W t q h I y 0 R F v j L c I 1 3 6 7 X k H J 4 p c C 7 k x M j H o O h T G u / 3 p J i 1 t F q 6 E 2 S q r z p J e e 9 i x d w D m D P L A U z A w 0 i 2 c 7 k 0 s X C t L 8 W G M P Z O k z k l U 7 8 z Z x z G Y W / 1 R a M S 0 W 2 4 7 1 z k r Q 4 + d D 5 O 9 v z z w g / U o Z S a f X u u z u 0 4 1 3 5 C k 6 4 v E o M t T Y v Q 5 o a H h u j s b S 0 2 C y i 3 N H e q R 9 6 y D C O n 6 k 4 P n b s O + n s 7 J J D h w 4 a 5 o m l 1 y b 9 l H V + x B s 0 E u M a 3 i k T y 8 G j r m R p V F X J f j k R F b H E F K 4 k J m c S 5 H y 9 s 0 T o Y o C b / b d n e i R / s Y s / w z B a Y m I m 3 R p m 4 p z Z T s u b t a O u / e S O P 7 l b b K c L y l C z a j s p R 8 n 7 7 4 U c P i u J h M v P V o e h Q O / D 6 y p J J k w q M S q L D L P D a j Q z r u N n K B B 0 L h b c v H V L d u 3 c 6 T S I l q X 0 m k G A m W D q e E Z o o A p 5 U Z U 3 J V v L 4 p 9 Y Z j G g 1 m 2 G J y Y 8 B q 2 9 6 w W r Q n 7 / / S n p k R r J r d j q n l 0 Y t n 1 g F P 2 f 2 b f S x 5 y 3 T G T 3 D S M 5 K h z X s f / m G m U o 1 R x g K l z o R K R z f K 0 5 R e l r S n l p W g 4 f 3 m Y c M a s B p T Q q a 3 X K u g 2 b j V c J i U T J z s p S a V V q F g L z x 3 V R K U u 1 I 0 h B f O v W H f n 9 7 z + V 7 p 4 e 4 6 Z F u i w X v N N K D y Q 3 9 x P E 6 R 6 8 I H j X D 9 7 n S y L j B 9 l 6 0 a S K V A 3 + + a G 6 s L j F 4 O a z T G R L S D I 5 z O S e d 5 l p b h 8 G c o 8 d Z u K c u + 8 y G N c Y m t E y O e U c a 6 s Z k 8 B L h y t Z z P e v V u l L d N L f 2 k y m l m H W q D 1 E r 3 / 2 T C j F G M S 7 V O C k Y K k W t q w U T i Y d Y r q Q M M s B T B l v h t p X M 5 9 g i R Z 4 k S B S v S Z / y j h K g h Z G 8 M K + P 6 s l A m / c I v G N 3 i k y Q J u f / z u M 4 m E m h 4 G c c 3 O M x N / M e b f o v m U c j o 3 t p C q e Y S r d c r 3 j 9 V M V E E m m 5 Z 2 D O w N p c a X K i k Z K B B W W t W E c h 1 x y O C d g K q I p Y K C 3 D 7 w l N 2 / c M l H Q l n C X K q W A d 7 y I 4 F J U v + U M B N t V H u K J o H z s B K n a Z X R e F D a X T k n n Q O S Z y r S K D U 8 i j O j f / / t / a / b 9 o P n 8 Y U w h x o G Z Q g w S Y h z n 7 3 P M B J N 4 / 8 7 v 3 b 9 d q E 8 2 z M S 1 0 B D M d L N Z 6 0 7 t J g Z y M z J V O r m 0 t x p l V V U + S s s k b k / y r 6 2 X B / c f z k V J t 7 p h N 7 t f 2 W X m u c T D 7 k H y e Y G a i Y p J T o a l Y L l T 9 i M h a H z n a t P q 6 P z R 8 E b N i N x 9 9 F y a n z g 5 5 L 1 J b N h a k O V 2 w Y 7 P M F G I k e b 2 X e b x H 4 e Y K S T B r H R C + o T 2 n T E o m M k U P S 7 J m j R x f u + / v 1 c f P J 8 G V 7 K 8 k G 7 w / N 1 u U 0 m b N m 8 0 q h 5 M R S g K l Q p Q 1 b x Y q p Q i G p 2 V K b y A U Z k x + v k X X 7 p n Y s d K j X U F T V J k k e x o e d R X A 1 l Z m b J t Y 4 3 8 + I 0 y q U p 6 O i + J D Y C g v S F T Q X j Y 4 U z d C T G M w y A L M t P c + d A 5 y 0 j 2 H G V k e E T 6 B / r N f m O P t n u 6 M 8 l w N d z k f q y q D W V L U U W O q T z U M C o N 9 Q 6 m s Y w T x E B L Z S q i w 4 P A Y s d f f f W 1 e X 6 s W M n B 4 z 0 B U o o 3 i z V f + k q C d q o q y T a S n U i R 4 8 d P y O 9 + 9 6 m Z n 4 Q z i T y L Q U 4 f 6 h b C r u 9 x G c o y E A x h m c W c 5 5 x z b B n H y z R O c K t 7 T i W P 4 4 R w 7 C R U v I f d W a p 9 O I s D 9 A 7 P y u 2 W J P n o o / 2 B t L f i 5 W p D e + w U F U f 0 D q b L 3 s p x O X v u v B x 4 + y 1 5 / O S J U a k I p n 3 7 r T e N H R U 0 3 r M Y B g D Y a c T H 2 d A n P + r r 6 0 1 0 g h 1 E j g Y i t J l + s l I 4 8 Z h V N t w D F 7 v c x c 9 e B l D 3 Q R 0 b h P y s a 0 Y 2 l D l 1 7 G 0 j I h s m p 2 A W b 4 E x 3 H 3 L Q L o f x k z 2 W I t j Z z l q 3 p y 6 Z 9 Q 7 x / F A r N 4 r F S N y 5 X m i b C w c k 4 a B d D l y F H V v 9 f F C V D 5 Q k D N m 1 s h l q g G V R y 4 F 8 i e U l h S b q R w w G r 1 f J A k T K 0 6 e / D 4 i M 4 G 1 a 9 c a g o h l 1 v B S b K i W / v n p t 2 4 0 p w Q O n B 7 e M B a 2 U i K 4 2 Z J i x q q G l 7 j y R T w R S U s g r M w y k x f f P E i V C W U m Y w O Z A q M 4 z G K Y h j K P m Z x r 7 b G X m e Z + w 7 G e T 0 R a a d s h t c Y m p m R a e 6 P 7 7 Y k v j J n A C 2 M o U F 0 6 J s P Z r 5 j K 6 h 9 3 I q A 3 b d p k p n K s X 7 f O 2 F d M T n z 8 O J T p Z 7 G q 3 0 I Z W A G R 6 g w u n z 1 7 3 j 0 T j K m p S T N v i f e N F Z V 5 4 d K F 2 b q l O T P S 6 1 v 0 2 o L F 2 o J w r i F N e 2 T 3 4 C U D 6 3 J Z O I w z K x c b S H k M 4 z i M 5 K h p I a l j m M a c 9 z M T 1 z n X z N / C W G 5 R R p r U w j 4 R 5 j d N E p Z p O f r e i 2 M m E P f V N x Z b C H W 5 e + + B 5 K R O q Z T o M t H W w A 7 0 w k A b N q w z D W C x G K Y q L I x t m j z 3 J P / F s e P f h T 3 L C x q c y Y B I q u f P m + T 3 v / + j i Y 5 n Y i D 2 V a T f g a 7 h R C N t h i c S z T p L Q d E H E M 6 0 q i + R E J R i + W X A 4 X c P m W 9 3 m M N h q L F J l 0 k s o 8 A U 5 t h l J J d J 5 s 7 r 1 n u e f b N V h n G Y D O Z x / u 4 U h 6 m c 7 Z R e y + z d G c n I S J 2 j r R d R t J v U / 7 / A U l 2 q v X 7 y d t 2 b l r 7 E N U Y q 0 S i 4 t 7 3 A p q r 3 z P i N l a l Y l 2 o x O H r k X Z N a i 3 l E f k A w A H u r p q Z a f v a z H 8 s 7 7 x y Q S r X B + J a B g U G 5 e f O W y Y i K 4 Y 6 H s d f k 7 B 6 X M 1 e e m D w N I 8 p M G 0 u m Z G 1 h O O P c v X v P e C A / 3 D o l B V F S k x H A + j K B i Z E F + f m G U S x z Q P B Z K T C C I 3 E s I 8 1 d 4 1 7 n P b Y M 5 N 2 f Y y Z 3 n A m m c W w m l 5 H s N a b M y A 9 / x L S f + T S 2 m i X h W m N H 5 G 5 1 F f G k K V E O r Z 9 w g 0 + z 5 e S J U 6 o L h / I o U P n g 2 b M G q a u r N f v A n o 8 E 8 r + R 1 3 u x Q A o 9 e P A w L I v r U u 8 1 M q a N P z W m 9 5 w w K u P t 2 3 d l Y H D A r C z I h D / y C 2 I / k k o 4 S 9 V P v J 6 d w 8 n y u D d H z 4 U 7 S 2 o K p m S z M u S L B l H 3 r I b I W J 9 p A Z d h R i d m 5 f T T V G I h n H N I J / 7 B E O a a 0 N Y w i b m G r f f Y Y Z Y Q M z k M 4 z A R K p 4 j k W z i F f Y / / M F + 7 e h e / N h d G E P 9 l / / 8 H + V / + d / / L x P O k Z H C 1 O g Z G e 9 p k 7 R C Z 4 G r l U R j a 5 I a s D O y r 2 Z S O p q f m c o k 5 4 F 3 g J f K B l 7 C t u f 8 Q A V j Z u g H H x w 1 C 1 w v F U S v 9 y j h F B c V m r l X z K J d a d h v w h n h l 8 S M B T H A + q J A R 0 O + C h b E B o Y B P O X Y Q 2 f m Q I h x X M a C O c w + j O H + 3 T K Q O e c w k M M 4 o a 1 l o j m G g o n Y d 5 m J m b h M e / n E S K c X D 7 W h n P E f 2 3 B 4 T m A s U t l m J J M i O E k K d a f j 2 U M p z U 6 b u z b e p b b S S U B 4 q T F Z G i b X G l u F U W 8 8 c H M N 4 w J m I p 0 X S + s H J X f B V U 7 5 + c 9 / s i x m A k w F 4 f 1 + 8 I M P V o W Z g K 2 T 9 z b P n / Q 3 8 Y K E E / V v 7 U u Y i a 1 D 8 B T H d j p n k q i 4 j E G b 6 d 8 s s 1 D m m M V l H O 8 9 Q g z k 3 f c z E 8 e 6 7 z I S 5 w g x + u G P D 8 z V 2 Y s u Y Q r 5 a 2 + 8 K f / r f / m f 5 R / + t / 8 m I 5 P T k p K U I q m F Z d I 3 P i N r 1 q 1 X y R U s D e K F D W u U q W m I h G S 5 2 F o Y q k A t V L 4 X h C e t X V t r P I J E W n A N 4 D o G H x l b i h d S o 7 j d V x L h s s n B 4 H i i X G x c 2 i T A p Y C 6 P X b 8 u E m m e f j Q O 0 Y d N c z i K X f a k k w S l a E x x 7 F i m M V t M 2 f r 7 l t G 0 u I 4 I O g s Q 8 d m a 0 q I k Z x z l p n Y O o z E M V 6 9 n / 4 s 9 t X l V w M J 1 5 9 3 r i y X L B J a 7 / K w X v V i 5 X U 4 / t 2 N k 6 r 2 K e e r 6 m d 6 g A h O B h o M V X C g f 0 C 2 b t 8 q 1 X H M M U F U A N L u R c A / X 8 p C q 8 K s A 8 X S N f E G q 2 S Q c Y l B b J s / H t c 0 W Z R Y I N w y k i 3 H H 1 k 1 z x Z l B L u v D K E 7 Z t 8 w j X s u x E g c O 4 x l m d E y 1 T x m M v s O Q z E L 9 8 i R V y U v f 3 k a S C S M a k f y 9 W e f 6 v 3 z 5 X l D v X m H s s o q W b t u g 1 w 4 c 0 o 7 9 G y z W u L g Q L 9 x U u 3 c s 1 e 2 7 9 4 j / z + H r b M Q Z q R s W Q A A A A B J R U 5 E r k J g g g =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1 e a b 5 0 3 - 0 d d 8 - 4 2 0 6 - 8 8 7 0 - c d f 6 c 6 1 6 5 8 b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 4 3 . 3 4 6 6 7 2 8 1 0 3 4 1 0 4 7 < / L a t i t u d e > < L o n g i t u d e > 3 8 . 0 3 4 4 2 8 3 9 7 0 4 6 2 9 1 < / L o n g i t u d e > < R o t a t i o n > 0 < / R o t a t i o n > < P i v o t A n g l e > - 0 . 0 3 3 4 8 7 4 8 6 5 1 0 7 8 8 1 4 5 < / P i v o t A n g l e > < D i s t a n c e > 0 . 9 2 1 5 0 2 9 0 1 8 8 3 6 4 3 8 1 < / D i s t a n c e > < / C a m e r a > < I m a g e > i V B O R w 0 K G g o A A A A N S U h E U g A A A N Q A A A B 1 C A Y A A A A 2 n s 9 T A A A A A X N S R 0 I A r s 4 c 6 Q A A A A R n Q U 1 B A A C x j w v 8 Y Q U A A A A J c E h Z c w A A A p U A A A K V A T / j K k w A A F j W S U R B V H h e 1 b 3 3 k 1 1 H l u d 3 y n v v H Q o F 7 0 E Q I O g A A g R o m m T 7 m d 6 e 2 N 2 Y n t U P O 9 o Z a f U P 6 I f Z C P 2 s X 7 Q K R W g V + k F S R E / P 9 H Q 3 u 9 n 0 A A E Q 3 n t v q g r l v f d G 5 5 P 3 Z r 3 7 b t 3 3 6 l X V q w L m C y a v q f u u y T w n j 8 m T J x M + P X l + V v 6 V o H j t 6 z I 8 L D I 5 O S U z M z O m z M 7 O z h U L 7 7 4 X k c 5 H R b T f J C S 4 O w 7 q C q d k b d G 0 J C X M y t D Q k G R n Z 7 t / C e H 5 8 y a p q a l 2 j 0 R u t 6 b I t r J x a W 1 t k 6 q q S n O u q S 9 J S r J n J C 0 5 / N l c 2 z a Y 5 B 6 J J C X O y r s b x o W r j j 1 M l 2 Q 9 f m v t h K S 6 v 7 v Q m C q v r 5 k w + 0 G Y m p q U 5 O Q U s z 8 + N i Z p 6 e n S O 5 I o 3 V r W 6 r e M T S V K V s q M / z O j Y m J C n 5 + a 6 h 4 5 S I h w g 7 n z W s c J i Y n m m J K o + 9 P T 0 5 K R k S G J y e n y x 1 M X n O v + F S D R f s T L X k r q X j J m A v x d S 2 r S j G w o n p T 1 x U q E I 0 P S 1 9 c X y E y g v r 7 e 3 X O w o 2 L S E E 9 6 e p o 5 n p h K M A y R k j T / 2 V z 7 3 q Y x 9 0 i k I n d G x i Y T D D O B N z 3 M B H J n 2 q S v p 8 f c f 2 p K 6 0 2 3 X l h m o i 5 h J l C Q y b d M K X O K Z K c u j p m A n 5 n A g m 2 i D 5 l 1 2 3 N 8 y n m f Y e 2 Q R k d G Z G Z q T F 5 d V x l G C y 9 z 0 W p 7 + V G y 9 l X t 8 V 8 y Z v I A w l 5 b O C 0 X L l 6 S t L Q 0 y c / P d / 8 y H 5 W V j h T y 4 v z 5 i 1 J U V C R T M y J D E w l K y L E 9 G 0 m W n j I r + 2 o m p D R 7 O k y i 9 f Z 0 y 9 a 1 h Z J f W C h J S U n K P M n S M j S f 2 A H 1 C U a U O V s H Q h I w n l i o b U Z G x 2 R k Z F h S E m e k f 9 S R X k n 6 z n Q E l e U l 8 s m B 1 8 x 1 L z t e e o b K K 9 s g Q 8 N U 7 P R L y U z r i q d l Y 8 m U P H 7 8 R F 7 f / 5 o h 3 C B 0 q K p G h 1 B W V u q e C W H j x v V m O z S e I C n T A 9 L c n y T H H 6 b J n V b 9 b o f W 5 3 B M z / N + r 9 d O a O P N S k 9 3 l + S m T c m u y k n z d 7 4 X I i w o L D L H T 7 u d 9 + G L q v O m p d 2 j M l r A c J O T k 5 K p z I n a u I Q a M x g c H N D 3 6 Z S R Y Z X S K h n 9 i N Z G U 4 m Z k p q W Y f Z z 0 m Y k M y t r r r 1 R I x N m J u T I v p 3 u L 1 5 e J P z x 1 M W l 1 t + q I L P 0 N a 3 Q a a O 2 v E z M l K V S Z L 8 S d Z J 2 S R c v X Z b X 9 u 0 1 v W o Q T j 1 O l Y n p B C X a c S X e F P l g q 0 P 8 F t 3 d 3 U a q n W v I k A P r H J u n c y h R b j Q 7 K p k X P O L o p n H 3 y A / e X d U n / Q b 7 L g 0 9 y V J d o H q U / o l 3 B b 2 j i V K Q 4 X D q 6 O i o s V W 8 G B g Y k p y c L L M / M Y 5 t l a F 1 P 6 2 2 T T g z 8 p y x M X 6 f K Z N K 9 C k + d Y 9 z Q 0 M D y t z F 7 p k Q / H X V N Z w k x V k z M q n 1 N D W T I I 1 9 y b K t f E q u N K V p P U 8 Z e y 8 7 O 0 c u P 2 i U 1 q 5 e 9 1 c v H 9 S G c h r p Z S u I + 6 y y p T E T Z 4 L O L 4 g F f p O u K t V r a u Q f 3 T w u b 9 Z N q C E / I m 1 t b V J W W q L v r C 8 d g C d d S Y a Z Q E p K m q R g n P h w 6 d J V I y V g p m l X I g U x E 4 j M T M C + w 6 w M D v S b v d r C K U m i P j 2 P h Z m 6 l G H B 8 N C g 2 X q R m 5 s t k z O O k w B m A p a Z U M s s + D v M B P z M B D i X l B Q s s f 3 t U 5 A x r f U 5 K k M D X c p Q j p T C n t p b P S 7 P e x O M v Y c U 3 V V X L i U F u X N 0 8 r K V + a 3 7 k i C j e I 8 y 0 8 z i m Y l z A e e X A z x 3 M N G B 9 R M y M p U g o 2 p r 1 D + r l 3 Q 1 5 M v L y 6 W 2 t t a 9 c j 6 e u S o X 4 P f v b n Q Y Y m B M a 9 / F z L R S j g t L + N s r n H M 1 B d P y n j 7 b 8 u G j z m A C 9 S I h w f G S U W + R k J v u / K 2 4 Z L 4 K C l I D n C I g M 9 O R X L E A B s j N y 1 c p F 9 w J e N u P 7 0 5 V + 7 O g o F D f b V b S k p S h V J C P q M C u z J 3 S e n S + C S b e X F n g / u r l w 0 v J U L m V S K Z Z U 4 G W i f z M 4 z 8 G Q e d i R s B v I W Q K X i 9 L / h U 5 M 5 I 0 M y b l F e X G v R s k S a b 1 V o 9 V M n 3 7 w P H c b S 6 d M v d B w l m k e f i i q r r K 3 Q u h I n f a u M 6 f 9 z r 3 O a y M y D 2 w 1 4 L Q 3 t r i 7 j n I V 8 L k / S L B K 1 F R 5 4 I Q Z G / F A t p h o K 9 X J b J T N z A K z G X h l X J c 2 z f i v A v v 1 N 7 W a s 4 V 6 7 f f b E m W H v 3 b p L 5 e U a Z D C 9 B E b k 6 O v L N j n f n N y 4 a E z 0 5 f W g Y V x h 9 5 V a 9 o h T v e H c t Q t q d l 3 7 v 1 I u j c Q k j U d l T t g h 8 7 J 1 z k Z 8 7 I v p p w O 8 e L r 4 9 9 L x 8 c P e g e h e P E o z T j S I B e c X 3 v r p q U P O 1 x o + H G j Z u y e / c u 9 0 g Z U n / f P p g o l X k z 0 q / 2 z P P h A u M y X w j U U z Q m s r C f z P e D g f 4 + I 0 k i A Y l M Z + D h Q Q P q b n o 2 w b j u R / B O q p r 2 X G 2 f L a U L v y v t 5 W V q 7 7 4 d E 7 P n J t W m 6 h 9 N k p a B J H m 1 Z n r O a 8 k Y 1 Z / P X D b X v C x 4 q S R U V n 6 Z G r n h z O R n o i D G C T q 3 E G i q I G a i D U f G E 6 V P D X d r + 3 i B x + n A m 3 v d o x B Q 4 Z A k X q / c O 6 r i + Z l p W A k P A r S P b e l P k o 0 b N 8 i j R 4 / N M c x 0 t S l F 7 + c 0 T Z 7 a M 7 E w E 4 C Z c B I s B L 6 q Z z j U 9 D B T t N 9 l p D j M x L v y 3 h A 2 r w 9 D p i Q 6 9 k 5 Z z r R x 1 J Q k t Z r f m L q N A p i F N r b w t q E d E 7 P n e E Z G y o y 8 o p 1 T Q 7 f z O 2 j k 6 e P 7 s n v j W n P N y 4 K X i q F m U m p U N Z h v M 9 m K t d v l I k U 1 G X O n g P u h Z r 2 z Y V z y 1 X A P s i N G R k Y C X e M X G 8 K N 8 u r 8 Y D W K e z J 2 B M O C c l X t 8 L I N D A y Y Y 2 w J 1 D o 8 X s C r K s U C 7 + B t T 1 e n u z c f q F R d L l P x L r 1 9 A 2 F 1 H Y T K P G w Y b B r d u u f 8 K C o q N t 4 9 K / 0 s G D P z A 0 k z 6 l P / / L D n s l I d m p h x 3 x E a y c r K U m a O 9 C Y v B l q j v N C L L z k V + 5 R 4 n I q i w r w F 2 K 0 f k c 6 D D H e A d L O q I B A 4 3 i 6 A T h 4 J d j w n C L i Y O z u 7 5 k U D n H 4 6 3 8 P F u J M f d 9 p S D D O D t o F E o y a N j M / K p 5 9 + J n v 3 v u r 8 Q Z G u / D q s U g x J h h 1 C x E C s y M z K l v F x J 5 p i Z t Y j L g M A 0 z a 3 d s n U U J s U F u Q Z q W H V L K t m L w X J r u 3 k h e 1 g e o b d R n C R k Z k V Z l O 1 9 I f 6 e H / b s 1 1 T M C 2 N 3 d O m o 2 G o I T U 5 R X Z W 4 a Q I 0 d K L L C + F 2 z y / c p u q H M S W h U d C L I R o 1 + D F y t N y Z O O Y V G n P S g + J s 2 A O A b 8 t y 4 l O R J 2 d n U Y 9 8 w P C 9 + P g + v m e r e 3 l I W a F Y Q a H x + T R v R t y 4 P 2 f u G c d 9 K v 6 + K g j W e 6 1 O 5 I w 3 T d O t B D S 0 h y V K S 8 / s j e M u m t p b p K q i m L j 6 e M 3 0 1 r / F o 7 6 G A p z 8 o P Q I A v a a 3 I y F D P I A G 8 k F G Y 5 9 W 4 d H t w H z 6 F t S 5 w x Y 1 N O f c L c l r F R 8 / r 7 e k 0 E S P 9 Y q n k / 4 i U b 6 u t N D O T R v d v m 0 d W L K K H u 4 A V i b C J j n s 0 E 7 L 7 3 n E X Q O S + w Q U q 0 B 0 b 1 o P C x c 4 j w 2 6 D 4 O a Q I u H j x k u T l 5 Z l 9 P / a t C Z d q O W k B 7 + t u w U N l l u n h D m l r u C e D O a / J d b W Z 7 r e H e v W S r C k T G 9 g 3 N G E 6 m f E I b m c / / N d B f F 5 Y y U X v j i 1 Y W R U K 0 g W J q o J 5 w b A A C K p r r / S D u F N S Q l I a l W 8 h Y H O B W f c + x q Z y O 1 S v B s G 9 o Q 2 2 d B B 4 L 7 e V T 5 h 3 O n n y e x l V 2 4 + / p 6 c m S W r K w k M K K 4 0 X r v J l l e 3 V B n a k k p V M t o C g x g w 6 5 w f S y T Y a w H A 2 i P L b L W X z X d K X G 1 P k 2 b N 6 e e 2 1 f R E Z C n s L W H W O 4 4 c d 4 W o P X 2 t x 7 9 z v p a o k Q 3 a / 8 o p U F 8 x K 0 u y Y d H e 1 S U O P S l G X e C p z x u X 1 d Y n G X o O w Y S w v + v v 6 z L n h Y U d S 8 D v i C I G t n 9 K y C r O 1 s K o j a q S 9 1 g u r 7 g V h c H B Q n x f q O H J y c t 0 9 4 I Q 7 g a b G B i k q L j H 7 X u D 0 s M w D p l S i o T W g 8 l n A 0 H w 7 Q b m t X a E B Z 2 w t A H 3 8 4 Q 9 / N A H G P K 9 m T b V s 3 r z Z n O d 4 3 3 q + N 5 y + V r s k B p x b t Z J b t l F 7 T a e i 4 s l M 2 A Z E N F h 8 9 y h 9 z m s W C 1 A 5 8 N h 9 d T d Z 2 p s e q a F d K B c b 0 + b G l Q A h M h f q U + V 6 c 4 o J E 3 L O K V H o d w 2 M J 0 h j r z N G h c v 5 + y e p c u V 5 i o n D + + L 6 i G R s + r k k J q P m i K w r m p L p h H Q Z T a 6 U E l U 5 L f F M T I x J p i d I 1 u 8 I y V P 7 g X N Z a j M B + z s v u r s 6 3 D 3 u N z 6 n 0 l H X X n S 7 z o l I A 7 A w W k 5 O j j 4 v R d p a m 0 3 8 Y D i I Z H D e r 3 p N + C A 3 E g S k p 2 f o f R K N S x w k q 0 S r y C Y U K / T e P M c 6 Y c q L s o 1 K B z o 7 2 s 2 W v 6 + t X S O l l X X m d x m q p l p 6 o U P J z c 2 V d / Z s N b T 1 o k r C 5 2 e v L E y h K 4 T U w l e 1 o S O H F t m t F 0 H n w L b S M b n 9 q E l y S 9 e b I F O m O T z q S j a x b H O I 8 F s L V L V B / a 0 X h z Z M S O + o 2 j t q 1 6 w v n j b O h P L c E E E S w E q E N t M m m H o R C U g v q 8 p k p 8 8 a e + p 5 Y 5 O U F 6 b L W E q J V H r u C f A m Z m Y 6 Y T 3 N 2 p N X R f A a B q G j v d V I J x g q N 6 9 A x k Z H J C c 3 J F 3 H R k f D 7 D K i O e q U s W M F R G 8 H b S 0 4 B 1 N F k 3 L R Q L s G / T b S / X p H k 6 T I t c e Q a h S Y r L e 3 V 6 4 8 C 3 U k q 4 0 X x l A 5 F a + q u u K o C j C U Z S T L M E G M E 3 R u Z + W k 9 A y O S 3 n G k B R o r / 3 t w 3 T j i L B u 2 2 M q n c z P A n 7 r B z / x X 0 V 0 g g U R 4 E f c W D o Y D w k V h N r C a Z V Q S e Z a P z m 0 d / U Z W 6 2 w I O Q w s A R K X d i e n j o J k j o L A d U K a e A F z g V r D 1 k g s V J T H Y n b M Z R k p n 9 Y Y G t Z x 0 Y Q U N 2 Q N k G g Y 4 S 4 v W h t a Z K K y n B 7 z e K J M v N 6 Z W a e y b c T M w g T 2 f f D A 4 g U 9 t Y N 3 l b b 2 X C t L d Q X B S / j F + d v m b + v N o i A 5 K 1 W v S D 5 l y u Z a g u m p E w J Y U P x r J w 9 c 3 7 O O 3 T 2 W W i A N e B n E Z G u K t a 6 Y i d M a H N Z u K M B 5 4 R l J h C J m U C x v l N t w f y x m p N 3 R o z k S f P 0 7 n x X s h I B 9 Q D B 4 C x 4 3 l A f x k x W J f N i a G j Q M A p q n L d D s s z U 3 R n q p f 3 M B L y R 4 z B T z 0 j o G a P D 0 d 3 0 k Z g J I B 3 9 i H a 9 j X p H a h J I C 2 O g F s J M A / 3 9 x g O I B z H R M 7 D F u N 2 J E y f N v v 1 u C n V I G R k e l p L 8 n D B 6 W 6 0 S + U t X E J k l e 7 T H i d 0 9 H g n Z r j e N 3 j 1 9 w w / l 9 F O n x 2 V a B c G k / e 7 g q T 7 E 2 U Y B 7 f V 2 3 Y T a N N P y V F X F B x 6 v G / D a M 9 h E I F l p k s F O L w i / u d K Y K v U 9 S X L y c Y o h e o v Z y Q G p K C + V r O x s t U O 6 D e G Y 3 t V V W Q B j X D W 1 a 9 V o n z R E Z u p o Z l L O 3 3 c G X u m 5 k W g w H I x C V D 7 7 t p c G M F t R h K B X 7 g l g 3 v a 2 U P x f Y W Z I 5 f R 7 + / z w O i f 8 K K + Y H 5 d Y X h G a V P m 9 2 0 a A b 0 t P H D f f 5 X X x E y n R 0 9 M l q W l u P a v t R g f Q 0 9 O t j H R K O r W z K C s v M 3 / z w j I V 9 P D q x h r 3 7 O r C 8 P 1 q l t T 0 X C U K R z p R A d 4 C 7 N Y L / z l 6 1 K O q 1 j F m Y T G b E L K V r P v b T A c P u F 8 Q 3 v V I n 8 z U c H v G C 0 J q m K 8 D m H J O O I 4 F 9 J z v a C I G K d 2 X Z U h 7 S y Y f g o L E b q n v d q 4 v K C w 0 h I N N h s 1 n g W q D l E J t w c 6 B 0 b J S p m U i u V i G J 9 R W 0 5 7 b d C A + t Q 5 Y 5 u 3 v 6 1 F D v s 3 s + + G 1 n U p K y 8 3 W P 4 k x O 0 d 7 9 w i A 0 S F u 7 2 C s H 7 x / E C D 2 4 Q d / d I + w E 4 c l M z 1 l r i P w A j X P + 4 3 Q w I U L l 2 W m 9 E 1 T J 1 s 2 b w 6 j G W / h O a 2 t r b K j t i K Q B l e y a L c Y d H r l S l L 2 e i W a + W N O k R B 0 D e 3 v b Q P s J k D Y z r s b t N c 3 R 9 g 5 r o R a A A z o 2 t + Q p I S Q n M r 8 a R P Y 6 s f T r q S 5 O U t W U l k w V 4 n A U C v N 3 n p 9 t x Q X F U l B Q b 4 c / + 6 E E q P + v c J 5 E k T E O B E O D i t p D S O p 5 P B H Y i A J D 6 6 f M N I P Q D D 8 3 l 8 3 1 k N W V V 0 r R U U l p t P y w + v 5 g z C Z 3 H i t O f Q 8 m N J v A 1 l w P x i d v 4 e m c T j v g L T 9 / P M v 5 J u v v 5 U v v v h K n j x x O h E v e N a a 2 j X S 1 d m 5 Y P u P j 4 U 6 O P s d b A 9 t S T H h T Z F g 7 1 t a W i o V R b j 2 H b p b r b K q b v P 8 i g 1 G O k E Q 9 s N t A X a 7 E P q U 6 H E 2 w E i W m f B S w U z e i X Q 3 m z 0 e v i h o 6 3 N 6 V J 7 + q D N J d l R M y b a y q T l C x x l x 7 I H j N q / 3 e g 0 9 8 D o v 3 l L V 8 Y g 7 7 w m Q L + L I u 4 e l u T n c v r A M w H d T J 0 E J T g A q z / B w a F x m c G D A 2 G K 2 Z 4 c x + T 2 u b Q u i I F A F i V r g b 7 1 K z C C / w J k a P 4 f Z G X m t J i R R v I O 5 e M x M m 7 j t g n S a D + c d 6 O F Q P 9 9 7 / 6 j 8 5 C c / M g T d 1 9 c r N 2 / e U m n R Y p j p 9 u 2 7 s n n z J i O d b 9 + + r a p p Z C n n n U X M d / A N M L N t X 0 s q X t r x F q 5 v a 2 2 T 1 7 b U h t H g S p f Y u v A 4 Y X Q i O 0 z V W w i R r k H l s n 9 i A J c k J X i K l o q 8 y W c m R q + p N 0 k q 8 h w p A B O d e Z p q H A K o e d H e l p m 7 x 4 5 9 J 6 d O n d b t c W l o a J C B g T 5 p b 3 f G T y z y 8 3 P D v s l O m Y A x I k k F Y O Y I u b 0 0 k o A x K O v l A t S p 9 / e D g / 1 S V b P G 7 D M A y 9 / y C w q M b e V V x 2 B M B m G x i W y b Q I i A d 5 p L N u M y r o 0 C 9 6 O z q 1 N O n z 4 r h w + 9 M 8 f k M D c q m p M y L U G u X L l m G B T m o O z c u V N K S k r k e 6 2 z I P h V V r 6 h t K R 4 r v 7 c x x h 4 6 9 R + B 6 W o u E h y V K V c T S R 8 e f 5 6 N F q J G 7 J L 6 m R k H P t p 0 j Q a x X 4 4 s F s v g s 7 5 Q b 0 e 9 a T W s o A J T j x O 0 + e 4 J 6 I A 6 c K j G n q T j V 3 m V + U W Q q J M y Z H N I f U K o i U M q L O r 2 x C t n e t 0 6 d I V 3 d 8 Z J o n 4 R k u E f g y r / c W 1 2 E x I H J g j J z f X S K c B t Z M K V K 3 j x Y M I / W x 9 q u y r G F D D 3 h n 8 t M 9 g w L h d e + 6 S s j J p G M i R 1 I G 7 U r d h k / l b E G g n L 7 N a F z / g v s e P f y d 7 9 r w i h S p 1 o o H 6 C I r O A F 9 9 9 Y 2 8 r 5 K N e k N C D i r j H z 9 2 U j 7 4 4 K i R V D b v B a r k R x 9 9 a L 6 F q T X e 2 Q D 2 + 9 h S e G f 7 3 n 1 D o 3 L 9 6 X z v 4 0 o g 4 c s L q 8 N Q a Y W 7 V T 9 3 Q k Q s Q w E a J Y h x g s 4 F A b W M E K O 1 B V N a k e 5 J F 9 7 I B g v m 9 r y q E q 1 1 I F G e 9 6 o + n j V t V D x A 1 D i 3 Y B y J a R y x M t b O g m a 1 l Q p M z + s H A b U X z l 9 S B p + W A w f e l q a m Z v P t a 9 b U m F 4 c z 1 V Z m e M c 4 L w l H k s M l h m 8 A 7 1 e I J 2 C n m s Z g W q 8 V D 8 r u 6 o T z b Q R w P 9 t V d H x j C g B + x 0 R P J e o C M a P h l R t z H Z D j T i P 6 t e t 7 3 3 n z n 1 5 9 d V X 1 E Z c / p T 0 R w 8 f S q G q x s e O n Z C c 7 C y j O m L P I f n e e u s N I / 2 x L 2 E o Q J 0 w U G 7 D v Y B l J m A Z y r y v 0 t z Z B 0 3 m / E p j 1 R g q M W e 3 9 m 7 O m A m N z Y d S g N 1 6 E X T O j z d q x + f s H C + I E e s d S Q i b w k 0 S S s Z a 9 t Z M G o N 5 z Z o 1 c z 1 t E I h M / 4 6 U X S 6 Y o 4 S L n C k g J 5 + k G c f E r i o n 9 V b C 1 J C c P X t e t m / f O i / v X n 9 / v / l e 1 C f b 2 P T W 9 P T f f X d S P v n k I 8 N E g / 1 9 U l 4 5 3 + X c 8 O y J l J Z X K J N l m v v g N v d 6 v 7 w S w w u b F Z Z w I q a g X 3 m e a u y P n R V O p i a L 5 q Z G q a p 2 1 E M v b P 3 D P N g u 5 t 3 1 X I d 2 E J 0 d H Z K h z E 0 u j S B m X i p a W l o k L y / X S N U U Z R 6 L r u 4 u y c 7 K M h L s y p X r K u V 3 G H s t 3 z f L 2 N a v Z S w Y i j j M u r q 1 c r + p U z r 6 I 9 t s 8 U L C V 6 v A U G l F u 5 V o Q t L J M p M t f g S d C w J j J z D J O + v H J T G B n H L O + e O P w l W 9 T a V T Z h 4 N e P z 4 s R Q X F 4 f s g w h A 3 0 f d Y h J b E N o 6 e u X s 6 V O y f t 1 a q V F p A 1 H T e L t 2 h X L H M b U d a b N + / b p 5 h E c 9 f P / 9 W T l 0 6 I B 7 J h z d S r h j 4 2 O S p Y S b V 1 A 4 R y z U T f P z R i l z x 3 a C m I l M R q i B M J T + Q n 8 j x p l S X T B j Z r / 6 s V B k B I 4 N 1 E 0 m Q T 5 U S Y L 9 w 3 O t F F 1 J M F i f Z l S 7 W b l 2 7 b p K x D 3 a S f V p 2 6 S Z W D + c H 1 5 Y Z r L l 3 r 3 7 s n X b V j M A f m 4 V p J T W C A 2 1 s k U 7 u Z g Y C U Q 6 H w Q 7 u n 9 K J c a J x + k m J f F p V d P I f 0 D 8 2 k B / t 7 x W q Q Z 6 r j M N o q u r S y v 4 w Y L M B C w z R E J 5 a Y H 8 / O c / k R 0 7 d x j G 6 + v r N + N N 1 u i H + C C 4 T Z s 2 B v b i R G + X l g a 7 f 1 u a m q R I D f a q 6 h r D G N 5 U X / y O A F Q I m s J A b V N j v X Y A T m J J 6 j k r O 0 e f m S x d n R 3 y v O G Z O c c Q w s T I k L S q L c b 4 D / W M d O P e R K 5 H g + 1 U U F G H h 0 e l u b l 5 j s F X G j a X B c 9 b p 5 0 X y F P J R N t g t 8 F c f l j 6 Q t 1 G b T R U m J C o 6 i F S L 0 S X K 1 F W 3 G 2 e X b 5 L 1 T z H e 7 Q Y Z o k V 3 n b l / v R o D L i m d Z 6 Q o 5 u n l T g b 5 M s v v j Y E D + H / 8 I c f u 1 d H B o 1 Q p k Z 7 L D 0 w z E I e c 7 x Z 2 7 Q n / O a b 4 2 a K A a q e d 1 E A P 5 g K 0 t v T Y 4 j a A i Z E x a q s D v 1 u a n r K 2 C 9 8 G 6 o h E d V e M F B b v W a t S b 8 F 7 D s T b 8 f E w Z p a R z q W q k 3 Y O Z F n I i g Y Q 4 J A Y U h m + O L p 8 + c 9 9 8 J 2 E v x m 6 7 b N 0 t j Y Z G y / 1 Q K R / o A c i F 7 w X f 3 9 z m R G 2 s y G Y 1 n Q w e 3 a t c M 9 m p V 9 G y r C a H M l y o r L b L 4 v k n S y 2 1 h h 3 p m X Z s c F d p Q x T P V e q b r d X O Y 4 J / A W Y c R v 3 b p Z d u 7 a r u r Y M 0 O M s f S s v F e 0 8 J p I S F L j 5 O j R w / L T n / 5 Y m a l m Q U n I f C g 8 V 9 i V l L H R Y W O v A F t P O T l O l D j v H R S T Z x n S T r 3 A P s O 1 j q v d i 9 z 0 a S l M c 7 y G X n B f C J P w J 5 w P Q S n F w t R B b b I d O 7 Z G H V y N N / a v G Z f h 8 Q T Z s m W r a h j 3 3 L M O q G e k M / V I X b S 3 d + h 2 w q i p M B N R H b Y u p z 3 5 D 1 c K S p s r 9 y + r o F I J M 8 R Q C 2 G h a / g r i f S J J r c u U z L t v F I 1 Y f L W k V y l x p 3 m s G f P b u n u 7 j H P h l i 3 b 9 9 m z s e C M S X K q o C k / g v B N l y s Y M W N g w f f N v F p / I 4 p F + Q G B 9 g 1 f u Z v f t 5 g V F c L J A f f B n A 8 A D x h q I l 4 5 4 j y t s A R U d + f H Z g s B f A s J C E E y I x b U j B b 8 L d n j x 8 Z C U B H g 9 q 3 2 k i c G Z H n z 5 8 H 2 r R 0 C D / + 8 Q + N l M Z 7 O j w 8 I t 9 9 d 8 o 4 c g B 1 a + p S y + Z K t U d X 8 N + K q n z T i c V h z O Q l t s U Q n h c 4 H w C O i I P r n F 6 Z w V 1 / h m N U n 0 e P H s n w y I j c u n U n 4 h h I E G 7 r 9 Q y e L g a o H l e v 3 Z g n A S K B e v m X f / m D f K f M h C 0 F U Q C m e H e 2 t x t P H o S N z W P r q r J 6 j W E Y o t E B z 0 J t 8 z K Z v Q + A q a w E u 9 c 8 Y R L Q e L M x e f N C e E F w L D a Y t 4 0 q a 9 a Y 3 O L X r t / S Z y Y b 9 T N W d A w u X x F 6 r G 2 J h o F 3 1 o / c 3 L y w 7 0 a d x t l D h 2 O / A c m N W p v L Q G 8 A r c a r r K j K R 1 t 6 1 T 3 g b S Q v I p 3 3 o 3 8 s c S 5 G z 7 8 g m R e o e + v W 1 c m 3 3 x z T C s d I D + 6 Z v Y D 4 W N s J A v V L h 4 X A A O d f / P y n M T 0 H c P + M j H T 5 i f a s e M 3 s 8 5 A Q h c W O O k V u 8 I q q a l M 3 J j W X a x 9 V V o c i q X k e x W u L W Y y q C t n b 1 W V U O T P B U e / h h V U v / T D 3 V M Z l G g T e M Z w Y t k P 6 5 O M f G C l B N I h 1 h C y E 0 p w Y R t c X w O Y t W w J V X h B E O z A Z n Q 1 / o z 2 p O 7 5 p a H B + L v d 4 Q l v I w 1 5 x L L n l W 1 Q d c R g p V m a J F U F Z h o J Q V V U l e / f u k V c 9 K b r 8 I B o B F z m h Q 6 z T h F F L p H I Q g U b D x g 3 r 9 D 5 9 c v L U 9 2 b k H w O a e 0 c C d Z K d w z T v Y b V 3 2 o z n j H g 3 4 C d U V C 1 v M n 7 / u 8 G M q H 7 Y T T g L G u u f m f t n Z G R J a U W F U e V q i t P m 7 s G U c l z O A w P 9 p h f H g Q L o / L x g m g k D v 1 y D x 8 x K J Q a Z i 4 u L p K F x d Q Z L Q f t I p m o O t 9 2 j 2 E H d 2 L l U L O q G E 2 d v H a 7 2 c H q N V 0 n 6 6 7 / 9 u 3 + g c 4 x 3 k d Q K b Y i Q d 8 / L V H 4 G 8 x 8 v B C Y B 4 o C I B a h F x 7 4 9 L p W V F Y F q H 8 T E 8 7 d u 3 S J r 1 9 Y a j x 2 S 7 b P P P p e K i n L T K 1 r p E Q n 8 / t t v j h u v 3 t Y t m 8 1 9 I H C y w a I K 4 q y g H m A E 3 o d n f v / 9 G a l W h u c Y o x 8 p i i 1 V V l p i I g a 4 J y r K 6 O i I U c 1 Q 9 R y p M a R q L y t D h d Q 7 C B w 3 M i o Z d g N z i 3 h n r h l U i c 4 0 F n L 9 W e D l 4 1 l 4 F e / e u S / j E + N y 7 t w F u X 7 9 p q x f X 6 f v 6 S z r 2 d P T I 3 / 6 0 5 / N / f F 6 X r 5 8 V e 7 e v a s G / 5 B x W f O d s X h C l 4 r n a u / Z z L t M M W n t n Z a a s p y I 7 e E / b 4 9 x m V N X k J m l x / a B U T 0 f o t e 4 l W 8 u 3 1 o c N c e I h O w d q r d O S V r S l A y N h U s q u 7 X w H w N 9 N 0 M Q Q f A u i x k L I J y r V 6 / L 4 c P v u G d C Y O Q / X R n N 7 4 5 u a W m V k 0 p 0 u 3 b v l G 3 b n J x v 0 f C N q p Z H j h y e I 3 I L n g 1 z Q c D Y c + v q 1 s q D B 4 / k 3 / 2 7 v z J E a 0 F D / + E P f 1 L d / 6 B J C u N H h 9 p V p U r U F o 4 0 w X M 1 Y + L 8 a t f W O X / w 4 E l X s o k Q 8 Q L 1 h 7 p g 4 T c 6 A I j O E t 7 4 + I T c v n 1 H 1 b l G y V H p y b s z z O D t i G g r v g c G X 0 k w R 4 z o j k M b Q l H 7 l y 9 f 1 v p N N r G D Q Y j M U A n G y e O 8 d 6 r p p O 5 1 r E z U R N J f / 8 e / + w d 3 P 2 5 I z c i T y d k 8 8 w E T 2 p 5 B D L M c k B I M 7 1 4 s 4 N n f f n t M 3 n / / v X k V D j B W 0 a t z f S n C k F S b t 2 w y q h s N E C 1 e j W d 0 d 3 V L q U o X P 6 F B j E g P p i 0 w T o X U Y z o H T O N 9 H / b T 0 t P k 4 Y O H 2 v s X G M k I 8 T M 1 g 5 x 3 p N 0 i 3 M e C 6 + l 5 c Z E z H Y J v Q K X j X f p U h e W Z w x M J c z 2 8 R W N j o 5 S X l + p 7 V L j 3 C L 1 D c n K S l J Q U c X P Z p 2 p y b e 2 a e f G D X L 9 S U o k 3 J e c 6 I W P M U W O Z V Q s G t H H t b 9 q 4 M e L z v d 8 C n D w V j p 0 I I 1 J Q n / G C s r D 4 I A t Q x R k r Y k M l Z t a E q X q 2 A L u 1 8 B 3 G B A J X Y w H v c O f O H T l y 9 I h h 7 i D A K G d V 3 Y F 4 s S u 8 g 5 h I k J 0 7 d 2 j P e E 3 6 V E 3 j G j 8 4 d + 7 c e V l b V x u o U l p A B B j J X E N s m b / x w b q 6 O p P / j 4 F h 3 g P m Z N C V 3 x U W F c 9 N X 7 f g f V k 6 k + v o E H g G B Q b r 7 e m S w V H t 0 C b G z D v i Y M B G g w n t I H A Q Y N 4 d 2 7 e Z Z 3 r n V 6 0 G b j S n m u D l o A x M R O r X V F f P 0 w C 8 8 N O W t 4 6 d / V n H 7 a 6 X F W X j 4 A j R b L x K 0 q 9 W w I a a T S 7 V R o w 1 Z 0 T o 7 6 h y 5 K k j h x 4 L K A c B z x 4 J U B Y C z g X s I A i D u T j d 3 V 3 G S e F t E N 4 N t e b p E x I n T h j G e f j o k Z S W O J J m V O 9 x 5 e o 1 W V t b o y p X p y F y 7 A l A A y H d P v / z l / L G G / s X n L 4 Q K 6 z t w v 0 p q J 7 U K R K H m v K + v 1 d l 9 A N b q n U w R S r z E 4 1 H r q H h u U r d T L m q d b F Z 7 T y H w F 4 u 3 G 5 L M W t x e Q f u L b C B i X h B 0 k e D 9 7 s m V I W 1 j h j s V z o b 2 p z B a z y e 3 a N O E E B c y 7 d X b i 9 E 8 Y v G b O Z 2 J b 7 Y I s u 9 x 1 7 b 6 G J j a m B y y l j s J z x S x O K 9 8 8 5 B Q 3 R U Z n t H h x l f q q 6 p M t l G 8 f j Q Y 8 N 4 R I j T i y M 9 2 O I 6 Z 7 o A 8 5 h o S H p q G O n J k 6 d m 4 L B L 1 T v u v 2 P H d q P C x b s n 5 1 m 8 F 1 5 C x l Q I Z y L B 4 / o N 6 8 y z L F N R t 7 x v E G N d U v u D m b i 0 A e N d H 3 / 8 o b G N c J V v 3 r T R v e r l A r O v o 7 U v 9 Y E a V + g u y B 0 E f 0 f B 8 R S 2 k 9 Y Z 9 U V 9 W P X 4 b n v w O N x y k P T X f / v 3 a k P x E v E p K V k l M j m T N c d M X v i Z y Y v e x m t S W 5 o x R x w k + G 8 b S D K L b V n s r p x Y 0 H a C w H 7 9 6 3 8 y E c Y Q O 8 + E A M + c P q v q 1 F 5 j h 1 y 6 e N k M + n I t n i r s B J 5 L D 4 Z k g g E Z Q M S G s G o c k g 6 7 h + 9 i G d D y 8 j L j a C C 0 K Z q k i A S m h 4 x P J U j P K K m H w 7 + J Z y G R Y C a e X 1 F R J v k F + S a / e k d H p 6 o t m e a 8 9 R o C P y G R a 4 / J k l z T 3 9 c v G z a u N 5 H Z 5 L h 4 W Y E q P z S R a K b E B I F v b W p q E W Y + 0 1 a R E C 6 l y O / n 2 J b A 0 I O 2 8 d D w k N r i K T I w D o 2 G 6 H e 5 J e l X / / 3 f x 1 X l S 8 p a q 9 I p f E a u / R g / v O f f 2 5 F u b B G m V l g i Z n 1 Z 1 i 4 i n T H Y G c P C Y 1 T m R i W e n u 4 e Q 5 h f f f 2 t F K u R X 1 1 T L b / 9 7 e 9 l e G j Y h K b g T S t U B s n z e f c Y k 2 p W N e u C E m 9 1 d Z W 5 9 t a t W / K 8 q V m u X L 6 q z J d u p l 0 w D e T f / J u / i D j Y u B B Q a x h s Z e G A L O W J a I P U M B e F a S D Y f E 1 N T c Z p Q k f A 9 / q Z C T B N g 2 Q x d B A P H z 0 0 n c B S G H 8 1 Q R 0 E M R M e P x L V 8 J l E a S C l g r I + W X j r A + b x A p q b m Z l V 0 l c b W W / a P T p p 7 h u v E n d 3 j X b 6 C z J S E C C Y g w c P z B s M f b V 6 Q v I T O + W t 6 t h G 5 a l M x k m Q L t g 4 G P L 9 A 4 M m e B J X 9 d G j 7 8 p 7 7 x 8 x K z c k B f R y u I 0 r V b L 9 4 M P 3 j S 3 D Y C K q 3 6 6 d 2 + U n P / m h b N q 0 S T 7 6 6 A M j r f r V / m K w 0 / + d n E P t R H V E Q k T D q 9 W T 4 c v s R A H f h l R t b W k P i 2 m z k x g t m P z I g m o 8 u 7 W l W e t h U j K 1 f v + 1 g k m k L O x N P j 4 y 4 2 J O L B b h b T S r a n X 8 1 T 2 Q 9 K u / / R / i q v L N J J G + K t x u W g i H N z i p k 8 + f v 6 S M U D O v J y 3 J S Z K G + g Y z O r 8 Q s D 2 O H z 9 p I o 2 J 9 m a 8 p b q 6 2 g z c 0 q P T Y y M B W V O I A d 8 C l V 7 W X m H G a I s S K 3 k f k D x I A 1 R C f s M 7 W T U D h m l p b Z V O V b + e P H 6 q t t U z f Z Y z T A A T f f 7 5 l 2 Z E H g Y 4 9 f 0 Z M 9 4 T T T r g 2 Y o V v C t V 7 Z 1 Y l 6 q S G O d K S l q G q U f c 5 S O j E / K o O 9 1 E S N y 4 e d O o v 3 4 X e L w A L z M 3 z Z s M N J 5 o b 2 + T r 7 8 5 Z o K H W b L m z p 2 7 x l M a C U E S 2 5 6 z m h P u d L b d o z i 4 + F t 8 S t w l F D w U x E y R m A t i I r A V q b J v 3 6 t G l f E D M X / r 9 m 0 z F g H R R g P E f u D A m 0 b d A x A e l e k n a G L m K i o r 5 t 7 V M V h n Z P v 2 L e 4 V w e D + S L v 9 r + 1 T t f E d + e D D D + T g O 2 + r N J i S 5 u Y W w 3 Q / / / l P 5 f G j J 4 Z p D 7 1 z 0 D B Y t 0 q 7 5 Y J 3 R J I T g e G t T 1 I W D y Y U z 6 W i 7 m h 8 I I n T w 7 I u p 0 d G p t P l x z / 6 R G 5 c v 6 m S r M 9 4 K u M J V P J z D W l S 3 x v f g V 5 S k N H J E Y Z F S F f O t l 9 o f V Y b + 3 G n a g v R 4 K 0 b U g Z Y 2 P O h v 6 s 9 5 V R Z 3 B D X F Q w z i z Z q o 4 c + x v t h f t i / v V 0 3 b l Q z R s G Z z h A J J O d A H c P T 5 s W U j 7 + Y h u 6 P e v C D j D l X n z v 5 7 r g W l z d R 3 0 i u S 5 c u R 1 T T O P / t s e / M u 1 j G N 9 + t P T 8 S Y M u W z S Y 1 F t L t l V d 2 G i 8 i S S 6 J o B h w J 8 I t h E h V N q 6 M Q D 5 v k p b U 1 d X q c / X B C t S 7 x w N F 8 r T T + S 0 e r P U b N 5 n w I 9 K U Z S W N S P 9 k p m z f s U 2 e N z 4 3 n Q H S L F 5 g L S z a c E 9 V / B g V p s f N / 0 j t V D M x t H i 7 5 G Y k a c c 7 K 0 + f 1 i 9 q i M I u i O A F L n N H V R e p z S W f + n x a X m o x T g n 3 O c t H a p l W h t P b w z C 2 R M I e t R 8 w Q r / 6 8 h s 5 c P D t O a k S B C Q M q t O J E 9 8 b t f D 5 Q I Y y B T n E k 4 3 B m p f h P A f b 4 s y Z 8 5 J e v N E Y / d 6 s O I D M s O f r U 2 V s Z F A K U 4 f l t K p k v d r D v / X m G 8 o U F U Z 1 g x F g L i o d p 4 Q z Y W 3 Q h O z s V S k a y x R 6 G A 7 J x B R 4 7 n X y 5 C m z H 8 k 7 h X M C 0 4 D F r 9 c V h / c S 2 E 2 / + + 3 v T Z D v l i 2 b T F y d d Z 2 j 4 v W P J 8 v e m i l J T s C z y m R F Z + E B w D Y z Z U b 6 p g t k Y 2 2 J r N G 6 + / K r b 2 T D B m b y M k V D j H R h L S u G K W 6 1 p k q v S h 0 W p l 4 I 1 5 t T z a L b A G K K B 6 A d 5 q O h 2 m 3 Y s M G o 3 Q W Z s 3 P z 3 J i K g 3 N m I X j V P t q P + r L 0 y N + c Y 8 f u 7 D W e v v h A G S p + N t R s S r E 2 v s N Q l I W w p d Q Z x G t t a 5 O N W n m x A G Y i s P R J R 4 J k 5 T n T H E h G C R E y t e P U A 3 2 T / E 3 S O 5 Y i z 3 u T 5 h H n u W e p z g B p a p a M J V f I g b 1 1 U l J c I I M D g 0 p 8 S X P M c u 3 a D R N z h 3 s c V z U T 6 9 Z v W G + W z I k F N B g S M C 0 t 1 U g s J / t Q 5 K Q v r O 5 R l T 8 z 7 3 0 R + A / b t Y 7 a O y W t Y q 8 U q T 2 Z n h r O l L i b I R K Y l U g H J h a S d 8 G C 8 0 n T A z I 0 l S G 5 m c k q 1 U i o n y x Z m V k m A y + d z M x s g t p e z n 2 J 5 m e A P R J Q u 1 H F z p w 5 K 2 v K 8 0 2 H 4 S X g p a K + / p l 8 + + 1 3 0 q K q M + q y X / 1 H Z R 1 O z p F K k 2 I 5 O r z v Y z s x O g / b 2 a M m J 2 s n P a s V 3 D c O R Y T o e D k l 6 V f / S R k q + G + L L r P J M F S s E R L K H A X T S s h 9 U l H u R H X H A i Q V 0 e D N o 0 V z v T R 4 2 p 1 s E v e n q I j 3 n i c u D P c 7 4 L 0 g T u w n c 6 y v W J S d J N 1 t z + R Z f b 1 x t T P W g 9 3 F A C 5 x X z g z Y D K m d h C G t B j C 6 e r q N D b P P / 3 T b 6 W a + 6 m U K y o p M x 2 A d z y N C X i V b s Z a L x q 0 Q 2 A l j 8 G J F D m 4 p 0 I y x p t k b L B X 0 t I z 5 i S Q H 0 i o / P z 5 K h H L g R b k p J v F 4 f I z E + R P 3 1 y Q 1 s k K 0 7 H 4 w S d G Y i i m l p 8 9 e 8 E Q 6 f r N O 6 S / q 8 W o w X m 5 O a b z s L F z X i B h K d 5 2 C Q L O J N I 4 o z o H 2 d K o / P t 2 R r d x L W w 7 D S r j M J v Z S C f + 6 X Z G i 2 U y T J S + S W 0 L l 4 a X W 5 L + R i V U w P k l l e m k Y q N u m J d f g K G Q T I S Z E N o T t L K 6 H z d V J W l W h r n b n i L P u l M W b B y L A l U F y 9 z V A f H A d f S p k Z o c I q K s t F n J T h 5 T d b L G h L W g l v H u 2 F K o e / S U M A X B r / T q s U Z F Q E A X L 1 4 2 H k a k H P d B f b n Y l G s Y n w 6 A i Z J I p k q V T L w h d c I U 9 Z s t K U Y F J F D U Y n v F r M k a i 1 0 E M Z C p i G B R G K u l u d n U B w l d e r V T Y B 6 T n / H 7 e n r M v C i k e H 5 O h v S m b Z f E F G e Z z i C s L Q x P H E o + B l J y P X z 4 W P b t 2 6 P f U y X j M + m y t q p Q t m i 9 0 V m d O n n a D E D b 8 T F s T o Y e G F S / c e v 2 3 B S a o E 6 J O k e l Z g w x y C P K 3 x / c f y B 1 2 p n G A v s M A m H Z t z Q J M x E l w 7 t R E r T S B 9 T 8 4 + p 4 F K 3 N o N O L L w n a 6 + t 7 z r 2 4 F / 5 j g E 6 M F 2 f 7 t q 3 u m c h g T a G O 4 S T p G X X m t M Q C 6 8 J l F Q 0 L I g + O 7 g q P K m e e D b a E T Y T v R E Q U y Z t q U 7 H K I D 0 l D Y J R j + o X K y B 6 7 C 6 S 4 k N I q R m 5 c r G 1 O G y F c 9 b m h b F Y B R 7 1 l D V 4 7 7 c n B 0 6 g x J t m w b 3 J V c 5 M 2 q d q u M O w J H h J T 0 u X t A j j T Q X 6 T T B F q z I z 6 2 h x D y u p L f I z Z 0 y + D l I L + K u Z j h I V + P D h g 2 Y 2 L H V i v Y r U G Q P y H 3 / y k f H I I U m a m 5 u M D U k A 7 8 F D B + R n P / 2 x P H / e Z J J 7 B o E h C 5 w R a C r N u g + x W 4 8 k H e H 1 6 z f k 0 L v z p 9 9 E A j Q X 6 N H U 8 0 T w M z h s b H b 9 0 K z k c F p e T o l b T o m c k v k L X P G n I P C x q D O f X e p d 0 M A / W 5 9 m Q n T m Q M / j 9 j 6 R Q K 5 y a 8 T e U G K 1 s G L e r t o O k A h 4 4 k 6 f O W d s A w v c r S S w t D 0 d E u D + g 4 d y 9 + 5 9 M 5 C 6 M B J k w / r 1 Z o 9 Y u i + u k Q v P H I a B J J y v 1 k y a R J w H T c J O 9 w 8 e 4 L j x v r M F e d P X q e 2 Z q B 1 C Y X G p k V j U J + 9 s 8 0 5 Y M I m R j g M J F Q Q + c 7 1 K J Z 5 P x I L f n W y k h v m A 0 B + Q Y l 5 Q v 0 h 5 p r H w r A 8 + e E / q 6 u q M r Q b x o j I z k d J P 6 B x f u X x N M j I z T A b e o c E h r e d 7 Z n g A s I I H c 6 C S f B 3 A Q v B K O j z J F n h A W X + K r 4 E W c 7 V + L R 0 v t y T 9 D T Z U H J C U U S 6 j o 7 F 7 + E B m d s E 8 I 9 y P B x 0 R P H 9 R G I t 7 X l L b w 6 J O j 7 1 X Y s N Y A x x 0 j a R K f s q Q Z G d l q n r n 2 H L 0 t I 2 N z 4 0 t B W i c j R v W y 9 O n z 4 y k i + R c s I C o y y v K j T 2 G T Y A n L T V 1 v p 1 I 9 i a c C h A y m Y n y V U U t U E m x u 4 o 8 C C L b y q d k r e / 9 Y X y I F 9 U O m y b I / i T J D J 0 C K h 1 J P 1 E N R y Y T t Q M J t r 3 I e 5 7 s c n O k g W Z t X V M / q G 3 R g F S n + L 2 2 1 E l W l q M + o 4 p Z O 5 C o k r p 1 a 7 U D q j M e T N T k + m f 1 h o l M P a q N H c l m j A b b G Q I 6 R L y 2 9 h y 2 E w 4 J I i 8 S l E 6 H Z h b H r J G g V R i f f 2 o y x M R E Y f B 8 c C x g 2 R o Q 1 o t z D 9 9 9 W B X Q i 0 s N 4 T q 5 / 7 F E F r Q n b 5 f L l 6 + Y D g H V 7 u u v v z U u a i + w i 7 o 6 u 0 w G W n p V / 7 d C 6 D Q a 1 w E a s W c y T y 6 0 F C n x h 6 u a F j g J n r q r G q I O t u i 7 3 2 1 L M Q s d P O 5 M N i u 0 2 9 f F S V L / 9 I n J g 8 6 z u T 8 p k i P V O W M w b S 3 N 2 v O T 2 D J R L j 0 N d j T A 1 M V Z M 7 K + e D J s a V A / U C 2 H 1 K 5 c D n h f J N G V K 1 f N 4 O 3 9 B w + M K x y 7 6 / r 1 W 2 a q D W F h c / n U F Q y Y L x a o 2 1 5 Q R 6 Y j 0 H s 6 1 a W 0 q v + M 1 g I J x e l f O O U t A 9 h P S 0 U Q O Y w q k R P O n 5 M W y l m O V 4 7 G D 6 Q f r a j i b O d a C N K L g b F w D t p a N p + w U t O z 5 O 5 j J 1 E K O j x T v 7 u 6 w q M b a G B W q a B x P v v z 5 2 a K B y F I q I D 3 7 9 + X / / f / + f / k u N o I J G r B G O c 6 n A s L A f W K d z z 5 O M 3 Y O F 4 0 9 y f K B e 0 Q G M A l Z 8 T a d e u 1 v h L k y a M H h n G x N b A x g i J I 6 B y K S 0 r c I 5 E 9 a 4 O l P Q P d q L 7 + p U H 9 w I P X 1 h Z a A Z H v I y y I U C C m n N i O J B r o B E p K S k 1 o V q f W b 0 1 1 j Q k p G x g Y l L f f f k u / M U v b o M c 4 J 7 g / 2 a T s H L T F w O s 8 4 j 5 z W 7 P v 0 B C z D n p 6 e k 1 n E y 8 k / c 3 f / Y / x c Z u n F G m v H b u 6 B 8 h b 3 T a k t k l 7 i p E 6 2 A k w z b O e Z L n Z 6 k g V G p t z g N 5 8 e p a H B W N z 6 a R R k V B t m A b g B c G i a S 5 t 8 6 w i P c Z d z f i L c 0 7 V k d K N c u n E p 3 L w w B s m c P b a 9 e t y 7 e p N O X v + g u x 9 d Y / p z R o a G 4 3 q h z 1 Q U l I s U x O T c v f e f R O M + 9 r + 1 4 y X E G c G S U + e N b b K b N b C i U y I g 8 O D G Q k T a k M y g D 2 u d Y F 6 i P p T U F h k V C p z b 6 3 r v t 4 e w 3 D U + 5 g S o D l W o m J i J Z M n 2 1 t b p K y k Q L 8 5 y d R p E D q 1 L a z t G Q S e S 6 S G T R q K U + n X v / 5 n 2 b 9 / n 3 Y i p + X y p S u y Q e s m y E v n x a Q + v 7 q q 3 L j 3 m 4 c y Z N u 6 U j P l p k 2 Z 8 8 i R d 0 0 k C B 7 F C x c u y c c f f 2 Q k y z f f f G u G S 2 D I a M D Z w D V 0 f l 6 V z 5 o i q H r s z 8 w 6 9 Q i z k j 9 j e F a J g 8 u X W R J O 3 n y w M O X H g J m M T a r u O C m F K V 6 m 8 j O X P S Z k 5 c y z c H 2 c 9 1 r q C + G h g l l Y b o Z G s 0 h O m N T e N 9 l k l v V n S / K v I U V Y y v 6 q H j l 3 9 p z R 7 X / x i 7 8 w 9 g D E Q 6 o v e u j X X 3 8 t z I 7 g e 7 y N B / q H p + R e 8 5 Q M z s S W / j l W o J p t L h o w q y P i z r e x i o A E m S y k B r C t y G 5 k C b C r o 1 2 K S 8 t M F A T J T 4 L A X b D f m C Z j F / 4 G t K e 9 z w m V w G + + 9 b p + s 8 h X J 2 / I w d c 2 m E F k 3 o F 3 e v z 4 q Y n J J G M T T h I b k D s 4 N i U 5 3 t R L P v z x j 5 8 Z A i f t G + F g f J s f p H c j m i U a U M U t Q 9 t 6 g Y E Y z O a d + B b W e M b j i X Q f G x s 3 U z w 6 p 6 P b h b E i 6 T / 8 p / 8 c l 0 i J W Z V Q R E l 4 G S k a c t J n j Z e o U Y 1 k K 4 G W C 5 v h 5 3 F X u G o z I 0 o M W r m s U O g d s C R C A K n n B Y R z 9 9 5 j e e / A T q m q r p I O t Z l Y R u V Z f Y O J L m f x L 3 / U d h D D n H 6 W I R O y c A q y x Y L U A M 8 7 h q T n + R 3 j I M E T h p O k V y V R R p b j C E B q j a u x n a I q 2 s Q k u S k Y t 0 s 2 B E u H 0 x g l k J W 5 Z 9 Q T 7 v y K z C F p b n o u n 3 7 6 m U q T P N O T Z 2 Z l G K J s a e u W D q m V u q o C y U x z p A G O B g b G n z x + o r Q w K W f P n D e S H K T 5 U / t 6 8 J v f / L P p p P b u d Y K j + Y a g T o o 5 U E x H 8 S f U w a a l T f g N 3 2 j B 7 y 0 t M v Z k p R M h R + w z F M A C e H g e R 2 a h G Y e W l 1 M S T t 5 6 G B d y n k 7 b q N w e X U I R 3 F i l K k V N 3 p R x z V o 0 K 1 H f 8 9 k 9 i 0 W B q o t 7 a y Y M k 1 x p i q x y J O k 7 v O t J T U U k x a 2 W c A I b G u y T j 3 c l G W O Y n H o M y N I Q 9 c p U q H n + R d X 8 Y B C 6 Y y h + e r k f x K b l Z C R K U e a U V G e T s H L Q j E m x K g Z B u H v 3 7 T E B p I 0 N D W Y 1 Q D L N d n W 2 S 1 m 5 8 9 6 R 0 g t 4 k Z E w L P 2 P v p H 8 N a / K K + t z z c r t T L 6 s q a m S 4 Z E x 8 w 5 p W Y V S V R p O 3 P T 6 1 r t H u 7 M C R r S B e + q V Y F 0 k v l c q 2 T z m N h D 2 y y + / N p L v z J l z R v W z j O o F z / M y o W U o I 6 G U J t k y H Z 5 s u G z J O T H N 4 g h K i s q S 7 q + W h 7 g z F I Z p X v q U 9 A x 7 e g d 3 a / M F 2 G M v T t 5 X E Z w Y C j e h X j D W F z K U v e A 3 A b e e h + 3 l k 2 Z 6 u A U S 8 v i j 9 L k f 5 6 b P y P 7 a S Z N r 7 + 2 3 3 5 y T S B j / j d r Q 2 7 Z u N d 9 A b 2 g b k M Y y S T N 1 / 2 F 3 t g x M Z i 5 o O 8 U D B P / a 3 H W 8 A w O p v D f v v G 7 d O r M C O 8 T / 7 p E j J q + C h V k 9 n + / 1 E K A F 3 9 Z y 7 5 T k V 2 6 S r P x y K c q a l d 0 V Y 3 L j x g 2 p f 9 Z o n s G C 0 C z I s J A K x v w t 6 i G a X c U Y 0 e n T Z + T o 0 S P m m O d T y E V Y r v e H k W E u m I p F A Q B Z q H h z x q 3 s M q H 8 x i / V g O n k t W 6 8 K t + k S t C H D x 9 J n U l K O i P d C d G H Q W J F w q l b j 2 I g w Y U x l b Z B b a j I i V l q C q Z k c 4 m j b t n z X m C v o D v j 6 m U G q 1 d D u N e e r E Z 7 Z D V l s Y B R 3 1 V 7 C + A R x J k B 7 b N g G 7 C M z 2 D v l s 0 k N E k w D U D v z 4 D j y P C I p G e k y + 5 X d p t M r 3 w P W V V J 1 V V a X i a N 9 Y 2 S u O Y D y c 1 f n f w N z G o u V K K 3 o P 4 t M 2 N 0 f 6 G E S J b a T Z s 2 z A 3 8 d n b 3 y L G b o 1 J c 5 Q w + + z E + P q J S I 9 R r 4 0 B 6 o 3 Z U x t R G y X b H 6 m L F y M i o H P v 2 m B x + 9 7 B R G 4 O A V x Q p B e P A h A z i J i U n m e 8 4 q / b s l q 1 b j L P H g m u 4 n m 8 h O p 1 k p U G g b b z M Z A u J d p C I / L 2 j o 0 O S S m M L a V o I S f / h 7 7 C h l o + Z 5 E L l f I e R V D b p 1 v 2 D i / 1 r A s J A P G B 1 e A Y o U b H C x p k U e L a w f S j o 9 s s F r w a B M L U a b y I e t D q 1 5 / A u A m t n M V 2 k t b X N M B M E i Z H N I C 1 e L t Q Y B i i Z n 9 P 4 v N H Y K N t 3 b D e p m L d s 2 y I t w 9 E j o o l + Y M o J a Z L t N B M + O 5 o X M x I S E 2 a k I N 0 J 1 c E G 9 E p G j s m Y 1 N T c L A 8 e P D S q Y W Z m h n y l T P b x o R 3 S O h z c M / u D X A n m L c + d k Y z U x d c / K i A R F L Q t m Z e I U i c c i / e E I S i 0 P Z K D a + k E k L C c Z / 4 W 9 V 3 i L q B g 4 d U O 2 D 9 / 4 a L J A e I H 9 E i h k 3 F s q F k Z V A n L F B Z m Y + t N T E h U d k l 0 N T 5 W J J y 6 H S c J l R p d Q n n T Q 9 n z X t y 7 f 1 + J c e F I Y u L f C E W C + M N C k h Y J C O T N t e O O 6 u P D p p J J q c m f k j / / + Y v A F Q + x j 2 B C P I k w I g u Z s U D A x x / / Y M 5 + Y J D 2 j k q / v p E E V V v D 3 7 O 6 Y N p M X Q k C 6 m d j b 5 I w q B s L h o c G Z P L 5 d z I z P q T 1 P i 3 7 X 9 9 v J j t i y 6 C a t b a 1 q y 3 V a L L W E v D 7 w Q d H 5 c R 3 p 1 Q F P G w m Q 4 5 o P 3 e 2 P r L E I a 4 P 2 5 c o j n i C 9 0 N y 9 H R 3 G 5 v U e u c I K G Z A 3 U 4 S Z S p H Z V U w s W N e W C c E G g I 2 l h 9 e 6 Q R d w r R X r l 4 1 3 0 4 G K J w 2 U 5 N T M p Q e n 7 y K y l C P 4 8 R Q 6 8 M Y K j t t W g Z G H U J K S 5 6 R A 3 X z p y J 7 Q W Q C s V + L h c M Q 3 G 9 x z I W E O q D E g s r X 4 v P 0 7 S 7 t l 7 M n v z F J W b z g W Y f W j 0 l T f 5 I 8 8 X g S h w Z 6 5 M i O b G N 7 n X i S p g Z v 6 F 2 8 H Q k M i E 0 Y S w 4 J s g Q T K N s z k q R E 4 Z 4 M w P a y M c l N c U K L 6 L H x R h L d z b g Y E h a 7 r r K S 3 I G 5 c q s l R f Z v z J g 3 6 Z I w L T o n G + z q R b Q 8 e c s F t h N M j x 1 k a C Y 7 2 y T R 8 Q J 7 8 P 3 3 j 7 p H D o i C Q M 3 z S y 3 m U r 3 3 X u j 3 0 B n 3 d d Q 8 J J T D W P z + / v 0 H J m c 9 w y H J K c k y k B I 5 1 f Z i k P B 9 n B h q U h n K 6 + V j Y b T a g k l D 5 m y 9 8 D I U + x D C s e P f y d E j 4 Z V p w X K Q 3 S P O n C F 6 S y 8 w W N H R m R 7 R N Z x o Z p F a o B E c V V u J g F B v b B / A h m K h 6 w D e N r 3 x u x v m E x I M h f 2 V o s z o j w j P y 5 i R X R W T J j I e g k V C v V 4 7 Y f K w L x f 9 o 0 S l J 0 l d 0 b R Z X G 5 Q 6 4 P B Y G / u b y / o 5 R l s B a 3 9 i T L U / k A 2 R k l u S R q B E 0 8 i S y l U 7 p 0 V E / N U 8 e X i q k q K P X v 2 m P a P B n I o b t z o v D 8 e O n 9 q M A s i 1 q 0 H F r o K Y q g 2 l d h m m K G v V z I z M k 2 o G G F O Q 6 n x Y a i 4 R Z t 7 6 w S C Q l V o f X B m X k S y F + i u u E H 5 K E R + J D B n i W h s X N 5 + M L M W Z g I M e n o B s z T 0 s C T K j O l p K T A K k o k 8 2 k H M B J A I / g F n C x w m l p n s J + N A I U s r Q w E 8 A y n G N h 7 M B G B W 0 g U Q S U I 9 5 5 o x v G B m A i w I Y J G s P c D D k T U m w i E S r n k 6 o S A U Z 9 F B u g d x A p I n F m Y C 2 F 0 A K Y o d 6 w X O C a Q w i y a g x n l h m c p p Z 2 f V E D y 1 x B G S j 9 F E s + v j u c Z L y 8 s p c d O M v f W C b Y I k e e v N 1 4 3 0 A N e u 3 5 D n T a H l L d k 2 K U M R x 0 U y y r 7 e 6 E v 7 A 8 8 j 5 k D O P C / 8 u R A e q W r m t W G + U 6 n E f C B 6 + G g g + p q e 2 w t / 2 1 t + X F s 4 G R d n S b y A i v S H 3 3 9 q 7 L q C 9 H F V t 0 l f H N 4 D k 7 w T O w Z 4 I + + D c K 8 9 R e s t s h f N t u l i g L o X C z O B f X v 3 m i 3 h W T g y v J 0 v z g y T Y V e 3 Z M 6 y 4 N u + / f a 4 o T s 8 j L j I z 5 2 / Y N K P k V M R t z v h R w x + L + X 9 I y H p v / v 7 / y k u k R I J K j J p H 0 T s x u L J u Z c k + J B 9 c j E Q L o / b m b E c P E 7 o + c R + U R i s 8 4 b z x A o 8 R 9 Y w p Q f D E e A H D g Q k H L 1 s r I T P V 5 E c B F s L w J T E 1 D H L 1 o 9 X q i Z N d I F 3 b O t F A i L D z c y k v E e P n 8 h D 7 Y l J b I J T A s / W b 3 / 7 O 5 M C j X l G 5 L q L p U 5 m Z 8 P z T O C J I 7 c H 7 U 0 2 J i I O m F d G q g C i K o J C h 7 w g o J b 0 A r E A x w r 3 J i w K Y H c R 0 E o O E G j L M i b P h G n I B U + H 8 Z O f / N g M a x D x w o T M G t 1 y P c 6 P + m c N k p 2 T Z d z 0 z C B I y U O 6 h e h 5 q S X h 9 N 0 n c W H P 2 Y x 1 + q E z U p Y 1 J p t L J k x F s 3 o f Y R 3 o t n Y A k P E m e h k + i g q w M W K x 4 n 5 H i m w p d X p W e 3 9 b o R N K z 6 c i 2 A L Y R U R S k F U o V m A 7 7 F D b 4 b t H 6 c Y W o 8 5 4 U p B n E K y k A b 9 Y k E 7 N m e i X J B c v X J a t 2 z a r a j 2 m d s s 1 k 7 c B M H u 2 a s f 7 Z q X A W G C / D 8 m H 8 4 B 7 e 6 U M b U 7 b E n 5 E O x P Y i i T y z 9 c i o h + p Y j v C a C B i g k g V H B Y W T L d p a 3 o q 9 7 R z / v i j H 0 i i z w U J 0 / B c 3 g 8 1 L 2 R H T c u n n / 5 J / z Y h H 3 3 8 s Z w 7 d 9 a s g 4 X K m F I R P B 6 3 W E S X 9 Y s A f E H l b i l 1 e m k + 6 M H D h + b j L l 2 + a s 4 B 9 F z C S a i g x T I T w K U N u r R R s B W 8 D R p t m V D s o s U w E x 6 7 D S p p c U J A S K 2 D S X M 5 H r w 5 1 p F 6 v A L j S U u B V k / M C J K O f n C / E 6 q e 4 e F D O 4 C Y C W Y d M Z P r R H 7 6 0 x + b O q P Q F i l D D x f 1 E n j F U C m t V 9 E L O / 6 1 f / 9 r 8 s k n E K y z 7 h b F o r W 1 1 U i F W J i J 3 9 H p e p k J 4 C V d r x o N y w j B T N 1 d X e 5 f H E B z 0 B Z b W 7 7 + + p i Z k v / J J x 8 Z t a 9 r O E F y 3 a k 4 p m L i B K 0 B b r b 8 4 g 6 / a K U 6 W x w N r + 3 b a w b x N s S Q R y 1 W W O N 4 e D p L d v j i u R j D i R e I d T t X H 1 J B C z N m 5 H p L q v G 4 3 W p N m Z u I x z N p k 5 3 l I S a L F T C 5 C X m K E d m p 0 Z 0 c O F J I C 3 Z 4 g 9 q w S r B 2 C j l j Y 7 V r c K O H p y k g A y u q d q w E d f o s q 3 9 0 z T H O Q i C Q G G Z g 5 r M F K Q T 8 E i s S + I a 7 d + 6 5 R w 6 o M w q w 6 R O K i o u N z Q S z W w a C / u x Y H I P D J B v 9 w Q 8 + M H / j a y e n d V u 4 b e 5 6 P z 0 v t R j 6 j E e Z 6 G s w P Z b t j Z 4 8 f W a O X 3 l l t 5 n p i X p m 4 e / Z l o L i n F l V 7 9 K M 7 Q J Q w x Z D n L H C B p G e V m K l 3 l l 3 i U r z O z U W k h 4 k k P Q D T e X o I t T E h a q N 6 T D e + x E 0 C y K p q B b e q R r R k L v 2 L T N X a b E 4 r 3 Y N q z J e V h v u n X c O u G c X B t E z r 6 s U 8 o I 6 s + N o q J 4 W d B p o R a h 3 b B l r q m / p M a b F B x + + b 4 g U x i H r 0 b b t 2 6 Q 8 e 0 q 6 3 X j T x J z i e f S 8 1 B I 3 t 7 n 2 1 a b B m R h G z 9 C r 6 g a g h 2 L U + + q 1 a + Y 4 X n i q x v a h 9 e N S W x D Z L R 8 P E J n N G J Z X T b e O C i 8 e d i Z L u 2 + A 2 A v G c c B i g n 3 9 I D I + U p I V C 9 M U L l h c D r W P N M l d U a L f q U f U 2 k g 2 I P f k H t u W I I U B k R u o m n t V Y 7 G R J L G A M C m / o 4 o 6 s P g Q R l E Q 6 Q A w J e i s e Q Z Z m M p d G 7 J / V G R M 7 U e Y B / c 6 0 z c M c y n z d Q z q 9 T k q 6 S w d L 7 N o L Q e c X W J B E y C s f k I Z C h F r w Q f u 2 B 4 9 w f t i g e v T C 8 Z + V g o Q M V P v L U q y g 7 1 5 g 2 o s M 5 8 o W n 8 f Z V p Q V M D U 9 b 1 J k h H F V o N I G L h k b I Z e e v u 2 b a p i 3 Z W i r B k z M z o W w F S 7 K i e l V L + R W E e O k X r c Y 6 n v j q Q B i 9 V M c C L 4 w Z g Y w H W O S k j n T a Q D I E 6 P O t D / z D Y 9 G c Y R y V F V G c b i 7 8 Q o I q V G x y c M 1 X Y M h d P w c s s S q y g Y M B T 6 9 f e n T s 9 z O D C P i I a O F 2 y s l w V q Q F C q r X j B L v o G r J p p Y f / C 1 H L s q + 9 V F W W R M C 9 i X Q M q E l 5 b M y G v a / E 6 P 5 h H x O Q 6 5 h z 9 7 v d / k P / z v / 3 f Z l w P I j J R 5 l 9 8 a Y Y k 6 I l 3 L E K 6 w E w w 1 R u 1 o X C x p Q L C J s / h U o D z w g 9 r v j E 3 j X t b 5 4 b T m b S Z r Z V A 3 n 3 o k i x Q 2 F Q M 3 1 x p d i Y k w m T x R F x X 3 + B j 6 Y W C Y v K Y P n 7 r 9 h 3 3 a P l A l W Q m r R e 1 6 c 3 m P V Y b t k m Y / Y t L H 8 a 6 0 B h S V c g O i + s d W w a n R h A G P a r c W b X X 6 I F v 3 r x t O i F W L G Q u E G M 9 H O N 2 / v W v f 2 M k P 8 T K G N O m j R v l V 7 / 6 a 2 k a Y K K e s 7 Y V y + r g y W N m 7 0 r B 2 9 E E Y V y l 0 8 5 d 4 Y P v s Q C P 3 I 0 b t 9 w j B 9 C + f R q q G 7 R G w W 6 H O R g m C E k p b 5 n R e h s 1 0 s k e K 1 e Z / c L M a U M z c S t n 7 z + L G 4 v O Z q y V P a W j k j A z a X p F i j m v L 0 5 4 P b o u E / b s u e X i 1 K n v z c L U A A I k 4 h j P E t 6 u h R p 6 K U D 1 s X O m g o B x 7 8 1 l E Q n l O d O y w + N 6 x 5 n i 7 S g J N V q X 2 W q 8 W K h u e M W m Z h J V n X D y I G B X W E 8 b 9 c h S q q + + u i e i 9 8 w s C Z O a M j d R c r X B w O / h w 4 f c o 4 V x + 8 5 d k 1 E 4 m o p I p 2 I l H 3 V A v V i a Q g p R F 6 i M S G r y R v D 9 3 I 9 5 V / d 6 8 m W M Z W u n p 8 y 0 l / V b 5 k / 7 W C q Q K b q J T 0 l O G N f e 2 Z n j A r w V A j N t 3 7 7 V D K K B a J U V K 2 w m U c Y 7 8 O q 8 + e b r 5 h h v F 7 q / d 2 Q / H v B O Q K R Y F 7 5 F L M w E 2 t S w R l r Z 4 t c 6 i t J H T M Y f e l 6 Y A O b B K Y J 6 w 7 i M 1 2 0 N E Z E I M p o r O i 8 v 1 6 i H / / W / / h 8 m g e d S 4 V d j Y w U 5 4 m O F S e P W 1 B K V P u i o v W t E U Q f U C b + h A 6 K O k F Q s g s d C A S x U T t p p f k f U / b j 2 Z e S Y 0 B / K T D L 1 x r P i U 0 I t E w d M j 7 T J 2 D h J 5 h 1 R 7 I V N E 3 z m 9 D n 3 z P K B M U p l k u C D 3 s r / T B i q L s 5 M B S I x w l K Q k x 5 u 9 2 H 4 5 y b 0 G w + W 9 X C h D k a S u B A S C 2 h H A / U C 0 x H 3 S A j P Y u C d 0 k G Q 8 l J Q X R 0 8 n y k I 7 e 0 d + u 3 R p / E w g 9 e 2 N e 3 v L a j B M A 4 a C 2 F p P U N K i + Y 6 N C b H s x e 6 f k b q 1 s Y n y t w i r j Y U p b + 3 2 7 1 1 O E y P o H j r 7 T f M x 8 Q D V J o T 1 6 U P j o D 1 y l B I k 5 c N G Z O t s q v g u X E 0 e I F b P T O 3 O M y p A 9 P h c Q s C d U n u i F j A V O / F 1 P 2 Q 2 n 6 p n g j / y L U c H T t 3 7 p R n T Q s v t M C 7 x b K Y G p 0 D 4 F M c x g g v Z o 5 T s u P V y 8 9 w 5 u i R l I U 5 Z s 4 1 M J X D W C k p h E / N p + O l l r i q f J T y q p o 5 8 e s l d H R c g J Q i f 1 s 8 0 N 3 V Y + L T o j H U y w i W 8 X l 7 e 4 G U l p Q Y S e e H d 8 x r I d D j x r K Y N / G U H 3 7 4 w a L q K j s V V c o 9 W A a g h 8 H u N v c o M n i 3 h d R D v p f Q I Z h B 2 c N l E K f A O N A Z g 7 n O O Z V K 5 j o i d 8 Y l J V E l 1 3 R I Q u n d t I R o N x 4 l r i o f a B 5 M C M t F b R k r 0 W N w E E o P l s s I e f l 5 x r P z r w 2 P u 5 L n 1 M Y g / O n L E 8 b h E g s I Q v W 7 l 4 N U U T y E p D l + U S C 7 L i k F Y O x I I G g 1 2 j s y X Z 7 f W + l t G S P E I E p n + j d s T 6 P e 6 b n p K V L a z U i y 9 l J M 1 7 h Y n 2 K 0 J c 4 x C T b e i F + k h F s G R / p M j + l n F n R b e + 6 t t 9 4 0 3 p f l g v z Y s S I W t Y 9 o A D x 5 1 u l A B M F q g y i M v / z h I a 2 r 6 H 0 d w a 4 k i I S Z q F t g n S L M + f I D g g s a K F 0 t / N V f / c I E p p J t K A h M / C O N M t I l C L j + a W 9 W 5 g B 8 j 9 c e m n O X 6 z l m 4 B q V T s + x w A J / g w k 5 d l Q 9 H B I q 2 Y u y A 2 l 4 O U X l R n z / z U 4 M S q Y 2 s p V M F t 7 F v f B W n f r + j H u 0 d E S P S Z g P m K Q 6 Q u 5 u o s u J B g i 9 s e M G X 2 3 7 i w F c w r c i O Q 8 g G l Y J G R 0 Z l V / + 8 h f i T Y p v Y / L I 3 6 G X h e H 1 1 / e b e L p 4 D q 4 v F n S i O 3 b M j 5 h B G u P N 9 A / W e / H 0 6 d M 5 t 7 9 l I o e R n O G Z T r U P + T a H q e z f Z / Q 3 W c 4 1 u t 8 9 Q L 2 E f r u u j h i + + P 6 L u 8 o H b t 2 8 Z X r D c K Y K b + G D B 9 6 a s 6 u W i n 4 3 + H M x Y O A 1 i E m i u b z J F b F a m J 4 Y N o Q R R H i s S k H 0 P i m L / a F X X j A V 3 5 9 4 B v z o R 5 + Y H B x L k V T N M c 6 Z i g Z m 0 G J P P V G V l 3 c g n z k D / o w l R p J M F i w i A G C E O W n k l q G h Y Z N 4 M y X V C S u C k b g G p 5 U e O d c p U z 3 o y j R b 4 y B D S q 0 A 4 q 7 y U U b z d 5 j G t 4 C p M t I d 9 c w y G K o K 4 0 d e K b Z Y p L h h J 0 u B n 6 m i D Q S X 5 k y b 6 x n f K s u e W Z T T Y D E Y f P y N X L t + c x 4 z Q R h I F + z Q f f v 2 x l R n D z v n B 6 F C t C x o h r f v x I l T i 5 J W p N B e D i B q p q i f P n t O e u s v m P E i s s C y V m 8 s u H X r t l m 2 1 c t I t j B o a 5 j H Z R a Y i V y K V s 1 D M h J P S E o x q / K l M X m O a o x z M a 6 C u J d p c q 1 V m D g z 2 / j l F c 6 q E F 5 s 2 x b b F O h I M H N 5 l g E z C 9 c F K 3 c s B C a 2 1 e X 2 S G 9 P + I S 2 e I D g 2 5 9 9 f F B G R 0 d M i i s A s Z C H g w X g i N Y m n A j V J x Y Q h x c U P 4 i E Y P b 0 4 c P v m N R t q w X o 4 J e / / E s p V U l C p 7 D Y q A 3 G 0 F h t 3 r G b H D W P w W o r r Q z z 6 N Y 5 x u G Q a P a 5 D k x M w 1 w h 6 b R z R 1 U w 7 S 6 z a F 8 b d H q Z R V 8 Y 1 c Q Z s W Z a R 0 K g f k y I / Y M H D v E s B T D t c g C v I 3 k o / q i H S P j i 8 6 / k 5 / u z 5 3 4 X b c W / x Q C p R 1 3 V r q k 1 S S l R j y h V l Z V h G V G v X r 3 h 9 M Z K P N E A 8 z P b O B p w E s R r C C M W Y D v T 5 v / 8 2 9 / L h Q s X 3 b O x g e 9 9 / / 3 3 j K e w R 9 V W j t F y Y B 4 T 8 O o y E 5 L J M B J M R 9 E 6 5 b k 3 W g g C 8 E i o N C S 4 S 6 9 x L C u k v I h U b 9 x j D M J L l 6 6 Y 4 0 i h M e Q W W I r a x 2 i 5 7 X 1 W E 1 u 2 b n b 3 H J B X H M a K 9 g m x M C s 5 / J A e a e l p p r d 9 7 7 0 j Z q o 5 5 7 A 3 k P Z / + t P n 8 u 6 7 7 8 i o q m o t L a 3 y m 9 / 8 1 o R c L R X 0 8 N 4 Q n t U A z / v F X / 7 M 2 I G o f b E A Z n E K Y 2 7 F k q 8 0 Y 8 9 h M 7 H W 8 J x k 0 v o y T K O 0 4 c x 9 c q 6 b m n a Y i 7 8 t 1 p m 1 G K y I D U X p H B 2 W h w 8 f m m B V k 4 z d F c n A y 0 C M e v P 3 x Y J 7 R I t f W w l A 2 J H G U V A f Y S x S q F m 8 p f u c Q 5 2 0 E s 2 f O x C k J E y Z t G s Q G D n S L Z 4 9 e 2 Z y k M N M q H s / + t H H x u Y g p x y 5 C F G h w G e f f b 6 k Y Q j q 7 + u v Q m r f t C 9 l 9 E o C q X H 7 1 p 0 F 7 T g v 4 9 y + f c f k l o c x r D q H j a Q X G E b p 7 + s 3 j G T / R i w f H U 5 T n 8 t k L q N t 3 1 Y Z R q v x L A k X H z e t G L v u q y t V Q 3 L C E A o M w D x / G 5 9 m m Q t Q q T S u 9 9 x C Y N z C 5 h R Y L c B Q h L V E c + 8 u B N q f z K 9 5 6 b M m e w 8 5 1 v / x N / 8 s f / X L X x j V h R 7 W a 1 / 8 4 z / q 3 / 7 q F + 5 R Z A z p e 3 3 z 9 T H 5 + O M P 5 8 1 y j Q a b 5 k 3 S i 8 2 s Y y Q l S 4 O W 5 Q Q 7 I c i N R 6 L N e C T x R H W F s f h m L 1 i B k j F A y 0 z 9 g y N y 4 9 o V e f N N J 2 z N Y a h Q o V 0 c J n I y x E 5 N M 7 C r 5 6 e c R c Q v N a n p w T k t M j M l h 9 5 Z n u 0 e D S v K U G t K K m S q v 8 G I a T K 8 I p h Y S c E y j t 0 C 7 3 4 s s J V J g 6 w W e E e k h T 9 D 6 X K B + l Z W V i p X L l + V / a + / 5 p 5 1 w D e S 7 s u f 8 z s S y L K K 7 b p Q B A n f g v P j b n u K m V D Y m 1 A r m T m h x d O Q p i s J I j z w O q L y e 2 F z w 2 c k z 5 g Y x r y 0 a b l + 4 a R 8 9 N 4 b c 2 0 O 8 4 x N z k r C 7 L Q K B S 8 z a d G / D w 0 O S W p a q m E o F g c 4 9 y x J m Q n b a l r t y h k 5 e G D l G G r F V D 5 K Y 1 e r U e m Q T r t 3 7 z S 5 4 i L B e r Z i B b 0 a P d x q g u / A f R t v w E x E W b O i f B B Q 5 2 L t c E g e y h p M 5 J + D + C K B R J O o T + / u 3 y i J R T v D m A l E C o t a D C K 9 M R o J x T I T K 6 q c f O y E Y t m F F l j 6 t H 0 w Q c 5 d f 2 K Y i e 8 / T 9 i Q b l H d O t R 0 T B B H r b P O B x g L l S 5 d 7 V C O Y b D z 9 c l 6 z l 1 R U 8 8 d O K A 2 s I 9 O 4 1 l W x s v n K a g U T 5 4 4 G Z B Y 7 g W w 7 w d Z R L 0 x g L G A C m P a 8 2 o i I 2 P 5 k / R u + n K J Y 1 + y g t + e P a + 4 Z x z J h O P l d / / y B + O N C 6 q z S E B C k c y S h J N M q P M D 4 r J R + n 2 j k a e G L D e L V K Q 3 f v L k 6 V x K M x a B u N G S K p M e 3 n e Y B q k z K / n l G + S 7 R 6 l y 7 G G q v F o 1 b m w p y s B Y g g y p u c r Y 3 J z d p I x F 6 m / q D t u K B R t C 3 j 5 U W D z O q J c O b a 5 E S b j 0 p H l x u t Y i k Z O e K h t L s 0 1 U h N O L Y B w 6 F Q b s F t B r L U b / B 0 g p O x F v N Y C U J d p 5 O T j 5 W G 0 E z z q / 4 N L l 6 7 J p Y 9 2 c f c Z A r k 1 K u R z A O K i M S H T q l w F O B k K J / 4 O R U S V b h r P k a X d w N i J i G 2 N 9 A 1 Y e Y S G G h a 7 / 7 L M v 5 M O P P j a 2 U h i g C 7 O B P l w 6 M f Q y I 6 9 U j k t u m m M b U W C y T X n t U p z n h B a x V q 6 z D p Q j m f j W y 0 2 q P q r K Z + w n t Z 2 y M p L l j d c 3 O c 9 a I a w 4 Q 4 H N R W l z A Z x e p g J e h g K n T p 2 W g w f f d o 9 i A + E r s Y 6 4 L x d I U b v a x 1 L B j N 2 7 b S l h g 8 m o O 2 / X 9 B p n C 6 E 0 J F d Z L j P F A v J V I K E a J o N T E f M G t B D j b Q w R B G F c f 8 8 C e K y b x Z S P N z y e T i 8 I h 0 r W G 5 6 5 1 y 8 5 + e F r O 4 E w R v I w k 9 1 / f c 2 Y p C R O y 4 n H z i T C A 2 t H j M 0 0 A x M p Q 5 E q j E 4 C h s I x c e 4 p t h M M N a m / n 5 a j R + Y v d B 1 v M H F J a 2 1 l S 3 v v u G k 4 S y B s v f t e L I a I q F R 6 I i p x t e y p F D d l 1 X J A T g n V S M K A Y w B V j S g G l h t d T D 0 s B 0 R v b 6 y r M m F V Q b C v S W J P m P 7 y 8 1 T z 7 v b 9 O f f 9 s z Q Z d t V G J i V a s P I J 6 c + 4 h k I n c r M 1 J Q o z e U s 4 Y 6 G 2 n X 2 W r M y k z 9 d j z g 1 q f 2 T / x j k c V G g r h s n m i j N 9 A 3 t L K 3 X F S 8 K l p y 2 + p l 0 Z G C m l H 0 z v Q d 6 A 9 P Q M J S B H R 6 f S v C D G j x X G v S 5 2 x q p Y 7 x Y v F u H 5 t W t q h I y 0 R F v j L c I 1 3 6 7 X k H J 4 p c C 7 k x M j H o O h T G u / 3 p J i 1 t F q 6 E 2 S q r z p J e e 9 i x d w D m D P L A U z A w 0 i 2 c 7 k 0 s X C t L 8 W G M P Z O k z k l U 7 8 z Z x z G Y W / 1 R a M S 0 W 2 4 7 1 z k r Q 4 + d D 5 O 9 v z z w g / U o Z S a f X u u z u 0 4 1 3 5 C k 6 4 v E o M t T Y v Q 5 o a H h u j s b S 0 2 C y i 3 N H e q R 9 6 y D C O n 6 k 4 P n b s O + n s 7 J J D h w 4 a 5 o m l 1 y b 9 l H V + x B s 0 E u M a 3 i k T y 8 G j r m R p V F X J f j k R F b H E F K 4 k J m c S 5 H y 9 s 0 T o Y o C b / b d n e i R / s Y s / w z B a Y m I m 3 R p m 4 p z Z T s u b t a O u / e S O P 7 l b b K c L y l C z a j s p R 8 n 7 7 4 U c P i u J h M v P V o e h Q O / D 6 y p J J k w q M S q L D L P D a j Q z r u N n K B B 0 L h b c v H V L d u 3 c 6 T S I l q X 0 m k G A m W D q e E Z o o A p 5 U Z U 3 J V v L 4 p 9 Y Z j G g 1 m 2 G J y Y 8 B q 2 9 6 w W r Q n 7 / / S n p k R r J r d j q n l 0 Y t n 1 g F P 2 f 2 b f S x 5 y 3 T G T 3 D S M 5 K h z X s f / m G m U o 1 R x g K l z o R K R z f K 0 5 R e l r S n l p W g 4 f 3 m Y c M a s B p T Q q a 3 X K u g 2 b j V c J i U T J z s p S a V V q F g L z x 3 V R K U u 1 I 0 h B f O v W H f n 9 7 z + V 7 p 4 e 4 6 Z F u i w X v N N K D y Q 3 9 x P E 6 R 6 8 I H j X D 9 7 n S y L j B 9 l 6 0 a S K V A 3 + + a G 6 s L j F 4 O a z T G R L S D I 5 z O S e d 5 l p b h 8 G c o 8 d Z u K c u + 8 y G N c Y m t E y O e U c a 6 s Z k 8 B L h y t Z z P e v V u l L d N L f 2 k y m l m H W q D 1 E r 3 / 2 T C j F G M S 7 V O C k Y K k W t q w U T i Y d Y r q Q M M s B T B l v h t p X M 5 9 g i R Z 4 k S B S v S Z / y j h K g h Z G 8 M K + P 6 s l A m / c I v G N 3 i k y Q J u f / z u M 4 m E m h 4 G c c 3 O M x N / M e b f o v m U c j o 3 t p C q e Y S r d c r 3 j 9 V M V E E m m 5 Z 2 D O w N p c a X K i k Z K B B W W t W E c h 1 x y O C d g K q I p Y K C 3 D 7 w l N 2 / c M l H Q l n C X K q W A d 7 y I 4 F J U v + U M B N t V H u K J o H z s B K n a Z X R e F D a X T k n n Q O S Z y r S K D U 8 i j O j f / / t / a / b 9 o P n 8 Y U w h x o G Z Q g w S Y h z n 7 3 P M B J N 4 / 8 7 v 3 b 9 d q E 8 2 z M S 1 0 B D M d L N Z 6 0 7 t J g Z y M z J V O r m 0 t x p l V V U + S s s k b k / y r 6 2 X B / c f z k V J t 7 p h N 7 t f 2 W X m u c T D 7 k H y e Y G a i Y p J T o a l Y L l T 9 i M h a H z n a t P q 6 P z R 8 E b N i N x 9 9 F y a n z g 5 5 L 1 J b N h a k O V 2 w Y 7 P M F G I k e b 2 X e b x H 4 e Y K S T B r H R C + o T 2 n T E o m M k U P S 7 J m j R x f u + / v 1 c f P J 8 G V 7 K 8 k G 7 w / N 1 u U 0 m b N m 8 0 q h 5 M R S g K l Q p Q 1 b x Y q p Q i G p 2 V K b y A U Z k x + v k X X 7 p n Y s d K j X U F T V J k k e x o e d R X A 1 l Z m b J t Y 4 3 8 + I 0 y q U p 6 O i + J D Y C g v S F T Q X j Y 4 U z d C T G M w y A L M t P c + d A 5 y 0 j 2 H G V k e E T 6 B / r N f m O P t n u 6 M 8 l w N d z k f q y q D W V L U U W O q T z U M C o N 9 Q 6 m s Y w T x E B L Z S q i w 4 P A Y s d f f f W 1 e X 6 s W M n B 4 z 0 B U o o 3 i z V f + k q C d q o q y T a S n U i R 4 8 d P y O 9 + 9 6 m Z n 4 Q z i T y L Q U 4 f 6 h b C r u 9 x G c o y E A x h m c W c 5 5 x z b B n H y z R O c K t 7 T i W P 4 4 R w 7 C R U v I f d W a p 9 O I s D 9 A 7 P y u 2 W J P n o o / 2 B t L f i 5 W p D e + w U F U f 0 D q b L 3 s p x O X v u v B x 4 + y 1 5 / O S J U a k I p n 3 7 r T e N H R U 0 3 r M Y B g D Y a c T H 2 d A n P + r r 6 0 1 0 g h 1 E j g Y i t J l + s l I 4 8 Z h V N t w D F 7 v c x c 9 e B l D 3 Q R 0 b h P y s a 0 Y 2 l D l 1 7 G 0 j I h s m p 2 A W b 4 E x 3 H 3 L Q L o f x k z 2 W I t j Z z l q 3 p y 6 Z 9 Q 7 x / F A r N 4 r F S N y 5 X m i b C w c k 4 a B d D l y F H V v 9 f F C V D 5 Q k D N m 1 s h l q g G V R y 4 F 8 i e U l h S b q R w w G r 1 f J A k T K 0 6 e / D 4 i M 4 G 1 a 9 c a g o h l 1 v B S b K i W / v n p t 2 4 0 p w Q O n B 7 e M B a 2 U i K 4 2 Z J i x q q G l 7 j y R T w R S U s g r M w y k x f f P E i V C W U m Y w O Z A q M 4 z G K Y h j K P m Z x r 7 b G X m e Z + w 7 G e T 0 R a a d s h t c Y m p m R a e 6 P 7 7 Y k v j J n A C 2 M o U F 0 6 J s P Z r 5 j K 6 h 9 3 I q A 3 b d p k p n K s X 7 f O 2 F d M T n z 8 O J T p Z 7 G q 3 0 I Z W A G R 6 g w u n z 1 7 3 j 0 T j K m p S T N v i f e N F Z V 5 4 d K F 2 b q l O T P S 6 1 v 0 2 o L F 2 o J w r i F N e 2 T 3 4 C U D 6 3 J Z O I w z K x c b S H k M 4 z i M 5 K h p I a l j m M a c 9 z M T 1 z n X z N / C W G 5 R R p r U w j 4 R 5 j d N E p Z p O f r e i 2 M m E P f V N x Z b C H W 5 e + + B 5 K R O q Z T o M t H W w A 7 0 w k A b N q w z D W C x G K Y q L I x t m j z 3 J P / F s e P f h T 3 L C x q c y Y B I q u f P m + T 3 v / + j i Y 5 n Y i D 2 V a T f g a 7 h R C N t h i c S z T p L Q d E H E M 6 0 q i + R E J R i + W X A 4 X c P m W 9 3 m M N h q L F J l 0 k s o 8 A U 5 t h l J J d J 5 s 7 r 1 n u e f b N V h n G Y D O Z x / u 4 U h 6 m c 7 Z R e y + z d G c n I S J 2 j r R d R t J v U / 7 / A U l 2 q v X 7 y d t 2 b l r 7 E N U Y q 0 S i 4 t 7 3 A p q r 3 z P i N l a l Y l 2 o x O H r k X Z N a i 3 l E f k A w A H u r p q Z a f v a z H 8 s 7 7 x y Q S r X B + J a B g U G 5 e f O W y Y i K 4 Y 6 H s d f k 7 B 6 X M 1 e e m D w N I 8 p M G 0 u m Z G 1 h O O P c v X v P e C A / 3 D o l B V F S k x H A + j K B i Z E F + f m G U S x z Q P B Z K T C C I 3 E s I 8 1 d 4 1 7 n P b Y M 5 N 2 f Y y Z 3 n A m m c W w m l 5 H s N a b M y A 9 / x L S f + T S 2 m i X h W m N H 5 G 5 1 F f G k K V E O r Z 9 w g 0 + z 5 e S J U 6 o L h / I o U P n g 2 b M G q a u r N f v A n o 8 E 8 r + R 1 3 u x Q A o 9 e P A w L I v r U u 8 1 M q a N P z W m 9 5 w w K u P t 2 3 d l Y H D A r C z I h D / y C 2 I / k k o 4 S 9 V P v J 6 d w 8 n y u D d H z 4 U 7 S 2 o K p m S z M u S L B l H 3 r I b I W J 9 p A Z d h R i d m 5 f T T V G I h n H N I J / 7 B E O a a 0 N Y w i b m G r f f Y Y Z Y Q M z k M 4 z A R K p 4 j k W z i F f Y / / M F + 7 e h e / N h d G E P 9 l / / 8 H + V / + d / / L x P O k Z H C 1 O g Z G e 9 p k 7 R C Z 4 G r l U R j a 5 I a s D O y r 2 Z S O p q f m c o k 5 4 F 3 g J f K B l 7 C t u f 8 Q A V j Z u g H H x w 1 C 1 w v F U S v 9 y j h F B c V m r l X z K J d a d h v w h n h l 8 S M B T H A + q J A R 0 O + C h b E B o Y B P O X Y Q 2 f m Q I h x X M a C O c w + j O H + 3 T K Q O e c w k M M 4 o a 1 l o j m G g o n Y d 5 m J m b h M e / n E S K c X D 7 W h n P E f 2 3 B 4 T m A s U t l m J J M i O E k K d a f j 2 U M p z U 6 b u z b e p b b S S U B 4 q T F Z G i b X G l u F U W 8 8 c H M N 4 w J m I p 0 X S + s H J X f B V U 7 5 + c 9 / s i x m A k w F 4 f 1 + 8 I M P V o W Z g K 2 T 9 z b P n / Q 3 8 Y K E E / V v 7 U u Y i a 1 D 8 B T H d j p n k q i 4 j E G b 6 d 8 s s 1 D m m M V l H O 8 9 Q g z k 3 f c z E 8 e 6 7 z I S 5 w g x + u G P D 8 z V 2 Y s u Y Q r 5 a 2 + 8 K f / r f / m f 5 R / + t / 8 m I 5 P T k p K U I q m F Z d I 3 P i N r 1 q 1 X y R U s D e K F D W u U q W m I h G S 5 2 F o Y q k A t V L 4 X h C e t X V t r P I J E W n A N 4 D o G H x l b i h d S o 7 j d V x L h s s n B 4 H i i X G x c 2 i T A p Y C 6 P X b 8 u E m m e f j Q O 0 Y d N c z i K X f a k k w S l a E x x 7 F i m M V t M 2 f r 7 l t G 0 u I 4 I O g s Q 8 d m a 0 q I k Z x z l p n Y O o z E M V 6 9 n / 4 s 9 t X l V w M J 1 5 9 3 r i y X L B J a 7 / K w X v V i 5 X U 4 / t 2 N k 6 r 2 K e e r 6 m d 6 g A h O B h o M V X C g f 0 C 2 b t 8 q 1 X H M M U F U A N L u R c A / X 8 p C q 8 K s A 8 X S N f E G q 2 S Q c Y l B b J s / H t c 0 W Z R Y I N w y k i 3 H H 1 k 1 z x Z l B L u v D K E 7 Z t 8 w j X s u x E g c O 4 x l m d E y 1 T x m M v s O Q z E L 9 8 i R V y U v f 3 k a S C S M a k f y 9 W e f 6 v 3 z 5 X l D v X m H s s o q W b t u g 1 w 4 c 0 o 7 9 G y z W u L g Q L 9 x U u 3 c s 1 e 2 7 9 4 j / z + H r b M Q Z q R s W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 G u i d = " 2 b a 7 e 1 9 d - 8 3 e 9 - 4 9 8 c - 8 8 1 7 - 7 9 5 b e c a 0 6 f 4 1 "   R e v = " 1 "   R e v G u i d = " 5 f e b 0 5 a 7 - 5 4 b 9 - 4 b e 2 - 9 a c b - e 8 e 5 b c e b 4 5 3 a " 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7E0FA31F-0D3B-4B53-8415-CDF683312A5F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9005D69B-64DF-4CF1-AD2A-B2AF7C576ABD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IR gap and ∆NII - detailed calc</vt:lpstr>
      <vt:lpstr>∆NII and ∆EVE - in a nutshell</vt:lpstr>
      <vt:lpstr>interest rate hedge</vt:lpstr>
      <vt:lpstr>annuity example</vt:lpstr>
      <vt:lpstr>for slides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STEPANCHENKO, D. (Dmitrii)</cp:lastModifiedBy>
  <cp:lastPrinted>2022-10-31T11:25:34Z</cp:lastPrinted>
  <dcterms:created xsi:type="dcterms:W3CDTF">2015-06-05T18:17:20Z</dcterms:created>
  <dcterms:modified xsi:type="dcterms:W3CDTF">2023-03-13T17:58:43Z</dcterms:modified>
</cp:coreProperties>
</file>