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5. Interest rate risk/for site/"/>
    </mc:Choice>
  </mc:AlternateContent>
  <xr:revisionPtr revIDLastSave="1280" documentId="13_ncr:1_{E1B82B88-164E-4EBC-B323-3783DBFDA495}" xr6:coauthVersionLast="47" xr6:coauthVersionMax="47" xr10:uidLastSave="{58472F97-D364-4343-9C71-37003651250A}"/>
  <bookViews>
    <workbookView xWindow="-108" yWindow="-108" windowWidth="23256" windowHeight="12576" tabRatio="659" activeTab="2" xr2:uid="{00000000-000D-0000-FFFF-FFFF00000000}"/>
  </bookViews>
  <sheets>
    <sheet name="IR gap and ∆NII - detailed calc" sheetId="1" r:id="rId1"/>
    <sheet name="∆NII and ∆EVE - in a nutshell" sheetId="7" r:id="rId2"/>
    <sheet name="interest rate hedge" sheetId="4" r:id="rId3"/>
    <sheet name="annuity example" sheetId="2" r:id="rId4"/>
    <sheet name="for slides" sheetId="5" state="hidden" r:id="rId5"/>
  </sheets>
  <externalReferences>
    <externalReference r:id="rId6"/>
  </externalReferences>
  <definedNames>
    <definedName name="_xlcn.WorksheetConnection_forslidesD45E541" hidden="1">'for slides'!$D$45:$E$54</definedName>
    <definedName name="DividendYield">[1]FV_option_BS!$B$8</definedName>
    <definedName name="ExercisePrice">[1]FV_option_BS!#REF!</definedName>
    <definedName name="RiskFreeRate">[1]FV_option_BS!$B$6</definedName>
    <definedName name="sigma">[1]FV_option_BS!$B$7</definedName>
    <definedName name="SpotPrice">[1]FV_option_BS!$B$4</definedName>
    <definedName name="TimeToMaturity">[1]FV_option_BS!$B$9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for slides!$D$45:$E$5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2" i="5" l="1"/>
  <c r="F182" i="5"/>
  <c r="D342" i="1"/>
  <c r="D223" i="5"/>
  <c r="D226" i="5"/>
  <c r="D227" i="5"/>
  <c r="D228" i="5"/>
  <c r="D229" i="5"/>
  <c r="D230" i="5"/>
  <c r="D231" i="5"/>
  <c r="D232" i="5"/>
  <c r="D233" i="5"/>
  <c r="D225" i="5"/>
  <c r="D220" i="5"/>
  <c r="D219" i="5"/>
  <c r="D218" i="5"/>
  <c r="D217" i="5"/>
  <c r="D216" i="5"/>
  <c r="D215" i="5"/>
  <c r="D214" i="5"/>
  <c r="D213" i="5"/>
  <c r="D212" i="5"/>
  <c r="F129" i="5" l="1"/>
  <c r="E129" i="5"/>
  <c r="D130" i="5"/>
  <c r="D131" i="5" s="1"/>
  <c r="D132" i="5" s="1"/>
  <c r="D133" i="5" s="1"/>
  <c r="D134" i="5" s="1"/>
  <c r="D135" i="5" s="1"/>
  <c r="D136" i="5" s="1"/>
  <c r="D137" i="5" s="1"/>
  <c r="D138" i="5" s="1"/>
  <c r="D139" i="5" s="1"/>
  <c r="C130" i="5"/>
  <c r="C131" i="5" s="1"/>
  <c r="C132" i="5" s="1"/>
  <c r="C133" i="5" s="1"/>
  <c r="C134" i="5" s="1"/>
  <c r="C135" i="5" s="1"/>
  <c r="C136" i="5" s="1"/>
  <c r="C137" i="5" s="1"/>
  <c r="C138" i="5" s="1"/>
  <c r="C139" i="5" s="1"/>
  <c r="E139" i="5" l="1"/>
  <c r="F131" i="5"/>
  <c r="F132" i="5"/>
  <c r="F130" i="5"/>
  <c r="F138" i="5"/>
  <c r="F135" i="5"/>
  <c r="F137" i="5"/>
  <c r="F136" i="5"/>
  <c r="F134" i="5"/>
  <c r="F133" i="5"/>
  <c r="E137" i="5"/>
  <c r="E135" i="5"/>
  <c r="E132" i="5"/>
  <c r="E131" i="5"/>
  <c r="E130" i="5"/>
  <c r="E138" i="5"/>
  <c r="E134" i="5"/>
  <c r="E133" i="5"/>
  <c r="E136" i="5"/>
  <c r="F11" i="7" l="1"/>
  <c r="F99" i="5"/>
  <c r="G99" i="5"/>
  <c r="H99" i="5"/>
  <c r="I99" i="5"/>
  <c r="J99" i="5"/>
  <c r="K99" i="5"/>
  <c r="L99" i="5"/>
  <c r="M99" i="5"/>
  <c r="N99" i="5"/>
  <c r="O99" i="5"/>
  <c r="P99" i="5"/>
  <c r="Q99" i="5"/>
  <c r="E99" i="5"/>
  <c r="E61" i="5" l="1"/>
  <c r="E62" i="5" s="1"/>
  <c r="E63" i="5" s="1"/>
  <c r="E64" i="5" s="1"/>
  <c r="E65" i="5" s="1"/>
  <c r="E66" i="5" s="1"/>
  <c r="E67" i="5" s="1"/>
  <c r="E68" i="5" s="1"/>
  <c r="D61" i="5"/>
  <c r="D62" i="5" s="1"/>
  <c r="D63" i="5" s="1"/>
  <c r="D64" i="5" s="1"/>
  <c r="D65" i="5" s="1"/>
  <c r="D66" i="5" s="1"/>
  <c r="D67" i="5" s="1"/>
  <c r="D68" i="5" s="1"/>
  <c r="M28" i="7" l="1"/>
  <c r="M27" i="7"/>
  <c r="D28" i="7"/>
  <c r="D27" i="7"/>
  <c r="F16" i="7"/>
  <c r="P27" i="7"/>
  <c r="Q27" i="7" s="1"/>
  <c r="P29" i="7"/>
  <c r="Q29" i="7" s="1"/>
  <c r="P30" i="7"/>
  <c r="Q30" i="7" s="1"/>
  <c r="P31" i="7"/>
  <c r="Q31" i="7" s="1"/>
  <c r="P32" i="7"/>
  <c r="Q32" i="7" s="1"/>
  <c r="P33" i="7"/>
  <c r="Q33" i="7" s="1"/>
  <c r="P34" i="7"/>
  <c r="Q34" i="7" s="1"/>
  <c r="P35" i="7"/>
  <c r="Q35" i="7" s="1"/>
  <c r="P36" i="7"/>
  <c r="P37" i="7"/>
  <c r="Q37" i="7" s="1"/>
  <c r="P38" i="7"/>
  <c r="Q38" i="7" s="1"/>
  <c r="P39" i="7"/>
  <c r="Q39" i="7" s="1"/>
  <c r="P40" i="7"/>
  <c r="Q40" i="7" s="1"/>
  <c r="P41" i="7"/>
  <c r="Q41" i="7" s="1"/>
  <c r="P42" i="7"/>
  <c r="Q42" i="7" s="1"/>
  <c r="P43" i="7"/>
  <c r="Q43" i="7" s="1"/>
  <c r="P44" i="7"/>
  <c r="Q44" i="7" s="1"/>
  <c r="P45" i="7"/>
  <c r="Q45" i="7" s="1"/>
  <c r="P46" i="7"/>
  <c r="Q46" i="7" s="1"/>
  <c r="P47" i="7"/>
  <c r="Q47" i="7" s="1"/>
  <c r="P48" i="7"/>
  <c r="Q48" i="7" s="1"/>
  <c r="P49" i="7"/>
  <c r="Q49" i="7" s="1"/>
  <c r="P50" i="7"/>
  <c r="Q50" i="7" s="1"/>
  <c r="P28" i="7"/>
  <c r="Q28" i="7" s="1"/>
  <c r="Q36" i="7"/>
  <c r="S28" i="7" l="1"/>
  <c r="R28" i="7"/>
  <c r="R27" i="7"/>
  <c r="S27" i="7"/>
  <c r="N27" i="7"/>
  <c r="O27" i="7" s="1"/>
  <c r="N28" i="7"/>
  <c r="O28" i="7" s="1"/>
  <c r="N29" i="7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G37" i="7"/>
  <c r="H37" i="7" s="1"/>
  <c r="G38" i="7"/>
  <c r="H38" i="7" s="1"/>
  <c r="G39" i="7"/>
  <c r="H39" i="7" s="1"/>
  <c r="G40" i="7"/>
  <c r="H40" i="7" s="1"/>
  <c r="G41" i="7"/>
  <c r="H41" i="7" s="1"/>
  <c r="G42" i="7"/>
  <c r="H42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27" i="7"/>
  <c r="E27" i="7" s="1"/>
  <c r="C29" i="7"/>
  <c r="U28" i="7" l="1"/>
  <c r="T28" i="7"/>
  <c r="U27" i="7"/>
  <c r="T27" i="7"/>
  <c r="C30" i="7"/>
  <c r="M29" i="7"/>
  <c r="D29" i="7"/>
  <c r="I29" i="7" s="1"/>
  <c r="J28" i="7"/>
  <c r="I28" i="7"/>
  <c r="I27" i="7"/>
  <c r="E28" i="7"/>
  <c r="F28" i="7" s="1"/>
  <c r="H27" i="7"/>
  <c r="J27" i="7" s="1"/>
  <c r="F27" i="7"/>
  <c r="E29" i="7"/>
  <c r="L27" i="7" l="1"/>
  <c r="K27" i="7"/>
  <c r="K28" i="7"/>
  <c r="L28" i="7"/>
  <c r="E30" i="7"/>
  <c r="J29" i="7"/>
  <c r="S29" i="7"/>
  <c r="N30" i="7"/>
  <c r="R29" i="7"/>
  <c r="C31" i="7"/>
  <c r="M30" i="7"/>
  <c r="D30" i="7"/>
  <c r="F29" i="7"/>
  <c r="O29" i="7"/>
  <c r="W28" i="7"/>
  <c r="T29" i="7" l="1"/>
  <c r="U29" i="7"/>
  <c r="K29" i="7"/>
  <c r="L29" i="7"/>
  <c r="I30" i="7"/>
  <c r="J30" i="7"/>
  <c r="O30" i="7"/>
  <c r="C32" i="7"/>
  <c r="M31" i="7"/>
  <c r="N32" i="7" s="1"/>
  <c r="D31" i="7"/>
  <c r="N31" i="7"/>
  <c r="S30" i="7"/>
  <c r="R30" i="7"/>
  <c r="F30" i="7"/>
  <c r="E31" i="7"/>
  <c r="W27" i="7"/>
  <c r="T30" i="7" l="1"/>
  <c r="U30" i="7"/>
  <c r="L30" i="7"/>
  <c r="K30" i="7"/>
  <c r="F31" i="7"/>
  <c r="O31" i="7"/>
  <c r="W29" i="7"/>
  <c r="E32" i="7"/>
  <c r="S31" i="7"/>
  <c r="R31" i="7"/>
  <c r="J31" i="7"/>
  <c r="I31" i="7"/>
  <c r="C33" i="7"/>
  <c r="M32" i="7"/>
  <c r="D32" i="7"/>
  <c r="T31" i="7" l="1"/>
  <c r="U31" i="7"/>
  <c r="K31" i="7"/>
  <c r="L31" i="7"/>
  <c r="W31" i="7" s="1"/>
  <c r="W30" i="7"/>
  <c r="O32" i="7"/>
  <c r="J32" i="7"/>
  <c r="I32" i="7"/>
  <c r="R32" i="7"/>
  <c r="S32" i="7"/>
  <c r="N33" i="7"/>
  <c r="C34" i="7"/>
  <c r="M33" i="7"/>
  <c r="D33" i="7"/>
  <c r="E33" i="7"/>
  <c r="F32" i="7"/>
  <c r="E15" i="5"/>
  <c r="F15" i="5"/>
  <c r="G15" i="5"/>
  <c r="H15" i="5"/>
  <c r="I15" i="5"/>
  <c r="J15" i="5"/>
  <c r="K15" i="5"/>
  <c r="L15" i="5"/>
  <c r="M15" i="5"/>
  <c r="E16" i="5"/>
  <c r="F16" i="5"/>
  <c r="G16" i="5"/>
  <c r="H16" i="5"/>
  <c r="I16" i="5"/>
  <c r="J16" i="5"/>
  <c r="K16" i="5"/>
  <c r="L16" i="5"/>
  <c r="M16" i="5"/>
  <c r="D16" i="5"/>
  <c r="D15" i="5"/>
  <c r="E14" i="5"/>
  <c r="E17" i="5" s="1"/>
  <c r="F14" i="5"/>
  <c r="G14" i="5"/>
  <c r="H14" i="5"/>
  <c r="I14" i="5"/>
  <c r="J14" i="5"/>
  <c r="K14" i="5"/>
  <c r="L14" i="5"/>
  <c r="M14" i="5"/>
  <c r="D14" i="5"/>
  <c r="F33" i="7" l="1"/>
  <c r="T32" i="7"/>
  <c r="U32" i="7"/>
  <c r="L32" i="7"/>
  <c r="K32" i="7"/>
  <c r="L33" i="7"/>
  <c r="K33" i="7"/>
  <c r="I33" i="7"/>
  <c r="J33" i="7"/>
  <c r="S33" i="7"/>
  <c r="R33" i="7"/>
  <c r="E34" i="7"/>
  <c r="C35" i="7"/>
  <c r="D34" i="7"/>
  <c r="M34" i="7"/>
  <c r="N34" i="7"/>
  <c r="O33" i="7"/>
  <c r="F17" i="5"/>
  <c r="G17" i="5" s="1"/>
  <c r="H17" i="5" s="1"/>
  <c r="I17" i="5" s="1"/>
  <c r="J17" i="5" s="1"/>
  <c r="K17" i="5" s="1"/>
  <c r="L17" i="5" s="1"/>
  <c r="M17" i="5" s="1"/>
  <c r="M58" i="4"/>
  <c r="E60" i="4"/>
  <c r="C57" i="4"/>
  <c r="C58" i="4"/>
  <c r="C65" i="4"/>
  <c r="C66" i="4"/>
  <c r="B6" i="4"/>
  <c r="C6" i="4"/>
  <c r="D6" i="4"/>
  <c r="E6" i="4"/>
  <c r="F6" i="4"/>
  <c r="G6" i="4"/>
  <c r="H6" i="4"/>
  <c r="I6" i="4"/>
  <c r="J6" i="4"/>
  <c r="K6" i="4"/>
  <c r="L6" i="4"/>
  <c r="M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C7" i="1"/>
  <c r="C19" i="1"/>
  <c r="M66" i="1"/>
  <c r="D144" i="1" s="1"/>
  <c r="F144" i="1" s="1"/>
  <c r="E214" i="1"/>
  <c r="G214" i="1" s="1"/>
  <c r="E215" i="1"/>
  <c r="G215" i="1" s="1"/>
  <c r="E216" i="1"/>
  <c r="G216" i="1" s="1"/>
  <c r="E217" i="1"/>
  <c r="G217" i="1" s="1"/>
  <c r="E218" i="1"/>
  <c r="G218" i="1" s="1"/>
  <c r="E219" i="1"/>
  <c r="G219" i="1" s="1"/>
  <c r="E220" i="1"/>
  <c r="G220" i="1" s="1"/>
  <c r="E221" i="1"/>
  <c r="G221" i="1" s="1"/>
  <c r="E222" i="1"/>
  <c r="G222" i="1" s="1"/>
  <c r="E223" i="1"/>
  <c r="G223" i="1" s="1"/>
  <c r="E224" i="1"/>
  <c r="G224" i="1" s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F215" i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E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213" i="1"/>
  <c r="F154" i="1"/>
  <c r="E143" i="1"/>
  <c r="E338" i="1" s="1"/>
  <c r="E142" i="1"/>
  <c r="E337" i="1" s="1"/>
  <c r="E141" i="1"/>
  <c r="E336" i="1" s="1"/>
  <c r="E140" i="1"/>
  <c r="E335" i="1" s="1"/>
  <c r="G335" i="1" s="1"/>
  <c r="E138" i="1"/>
  <c r="E137" i="1"/>
  <c r="E153" i="1" s="1"/>
  <c r="G153" i="1" s="1"/>
  <c r="E136" i="1"/>
  <c r="E151" i="1" s="1"/>
  <c r="G151" i="1" s="1"/>
  <c r="F71" i="1"/>
  <c r="F7" i="4" s="1"/>
  <c r="G71" i="1"/>
  <c r="G7" i="4" s="1"/>
  <c r="H71" i="1"/>
  <c r="H7" i="4" s="1"/>
  <c r="I71" i="1"/>
  <c r="I7" i="4" s="1"/>
  <c r="J71" i="1"/>
  <c r="J7" i="4" s="1"/>
  <c r="K71" i="1"/>
  <c r="K7" i="4" s="1"/>
  <c r="L71" i="1"/>
  <c r="L7" i="4" s="1"/>
  <c r="M71" i="1"/>
  <c r="M7" i="4" s="1"/>
  <c r="K72" i="1"/>
  <c r="K8" i="4" s="1"/>
  <c r="L72" i="1"/>
  <c r="L8" i="4" s="1"/>
  <c r="M72" i="1"/>
  <c r="M8" i="4" s="1"/>
  <c r="M73" i="1"/>
  <c r="M9" i="4" s="1"/>
  <c r="F74" i="1"/>
  <c r="F10" i="4" s="1"/>
  <c r="G74" i="1"/>
  <c r="G10" i="4" s="1"/>
  <c r="H74" i="1"/>
  <c r="H10" i="4" s="1"/>
  <c r="I74" i="1"/>
  <c r="I10" i="4" s="1"/>
  <c r="J74" i="1"/>
  <c r="J10" i="4" s="1"/>
  <c r="K74" i="1"/>
  <c r="K10" i="4" s="1"/>
  <c r="L74" i="1"/>
  <c r="L10" i="4" s="1"/>
  <c r="F75" i="1"/>
  <c r="F11" i="4" s="1"/>
  <c r="G75" i="1"/>
  <c r="G11" i="4" s="1"/>
  <c r="H75" i="1"/>
  <c r="H11" i="4" s="1"/>
  <c r="I75" i="1"/>
  <c r="I11" i="4" s="1"/>
  <c r="J75" i="1"/>
  <c r="J11" i="4" s="1"/>
  <c r="K75" i="1"/>
  <c r="K11" i="4" s="1"/>
  <c r="L75" i="1"/>
  <c r="L11" i="4" s="1"/>
  <c r="M75" i="1"/>
  <c r="M11" i="4" s="1"/>
  <c r="F76" i="1"/>
  <c r="F12" i="4" s="1"/>
  <c r="G76" i="1"/>
  <c r="G12" i="4" s="1"/>
  <c r="H76" i="1"/>
  <c r="H12" i="4" s="1"/>
  <c r="I76" i="1"/>
  <c r="I12" i="4" s="1"/>
  <c r="J76" i="1"/>
  <c r="J12" i="4" s="1"/>
  <c r="K76" i="1"/>
  <c r="K12" i="4" s="1"/>
  <c r="L76" i="1"/>
  <c r="L12" i="4" s="1"/>
  <c r="F77" i="1"/>
  <c r="F13" i="4" s="1"/>
  <c r="G77" i="1"/>
  <c r="G13" i="4" s="1"/>
  <c r="H77" i="1"/>
  <c r="H13" i="4" s="1"/>
  <c r="I77" i="1"/>
  <c r="I13" i="4" s="1"/>
  <c r="J77" i="1"/>
  <c r="J13" i="4" s="1"/>
  <c r="K77" i="1"/>
  <c r="K13" i="4" s="1"/>
  <c r="L77" i="1"/>
  <c r="L13" i="4" s="1"/>
  <c r="F78" i="1"/>
  <c r="F14" i="4" s="1"/>
  <c r="G78" i="1"/>
  <c r="G14" i="4" s="1"/>
  <c r="H78" i="1"/>
  <c r="H14" i="4" s="1"/>
  <c r="K78" i="1"/>
  <c r="K14" i="4" s="1"/>
  <c r="L78" i="1"/>
  <c r="L14" i="4" s="1"/>
  <c r="M78" i="1"/>
  <c r="M14" i="4" s="1"/>
  <c r="F79" i="1"/>
  <c r="F15" i="4" s="1"/>
  <c r="G79" i="1"/>
  <c r="G15" i="4" s="1"/>
  <c r="H79" i="1"/>
  <c r="H15" i="4" s="1"/>
  <c r="I79" i="1"/>
  <c r="I15" i="4" s="1"/>
  <c r="J79" i="1"/>
  <c r="J15" i="4" s="1"/>
  <c r="K79" i="1"/>
  <c r="K15" i="4" s="1"/>
  <c r="L79" i="1"/>
  <c r="L15" i="4" s="1"/>
  <c r="E74" i="1"/>
  <c r="E10" i="4" s="1"/>
  <c r="E76" i="1"/>
  <c r="E12" i="4" s="1"/>
  <c r="E77" i="1"/>
  <c r="E13" i="4" s="1"/>
  <c r="E78" i="1"/>
  <c r="E14" i="4" s="1"/>
  <c r="E79" i="1"/>
  <c r="E15" i="4" s="1"/>
  <c r="D78" i="1"/>
  <c r="D14" i="4" s="1"/>
  <c r="D79" i="1"/>
  <c r="D15" i="4" s="1"/>
  <c r="D77" i="1"/>
  <c r="D13" i="4" s="1"/>
  <c r="D76" i="1"/>
  <c r="D12" i="4" s="1"/>
  <c r="D75" i="1"/>
  <c r="D11" i="4" s="1"/>
  <c r="D74" i="1"/>
  <c r="D10" i="4" s="1"/>
  <c r="D71" i="1"/>
  <c r="D7" i="4" s="1"/>
  <c r="J65" i="1"/>
  <c r="O65" i="1" s="1"/>
  <c r="M64" i="1"/>
  <c r="O64" i="1" s="1"/>
  <c r="M63" i="1"/>
  <c r="O63" i="1" s="1"/>
  <c r="E62" i="1"/>
  <c r="O62" i="1" s="1"/>
  <c r="M61" i="1"/>
  <c r="M74" i="1" s="1"/>
  <c r="M10" i="4" s="1"/>
  <c r="L60" i="1"/>
  <c r="L73" i="1" s="1"/>
  <c r="L9" i="4" s="1"/>
  <c r="K60" i="1"/>
  <c r="K73" i="1" s="1"/>
  <c r="K9" i="4" s="1"/>
  <c r="J13" i="2"/>
  <c r="E60" i="1" s="1"/>
  <c r="E73" i="1" s="1"/>
  <c r="E9" i="4" s="1"/>
  <c r="J14" i="2"/>
  <c r="F60" i="1" s="1"/>
  <c r="F73" i="1" s="1"/>
  <c r="F9" i="4" s="1"/>
  <c r="J15" i="2"/>
  <c r="G60" i="1" s="1"/>
  <c r="G73" i="1" s="1"/>
  <c r="G9" i="4" s="1"/>
  <c r="J16" i="2"/>
  <c r="J17" i="2"/>
  <c r="J18" i="2"/>
  <c r="J60" i="1" s="1"/>
  <c r="J73" i="1" s="1"/>
  <c r="J9" i="4" s="1"/>
  <c r="J12" i="2"/>
  <c r="D60" i="1" s="1"/>
  <c r="C7" i="2"/>
  <c r="C8" i="2" s="1"/>
  <c r="E58" i="1"/>
  <c r="O58" i="1" s="1"/>
  <c r="F12" i="2"/>
  <c r="D13" i="2" s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T33" i="7" l="1"/>
  <c r="U33" i="7"/>
  <c r="W33" i="7" s="1"/>
  <c r="O34" i="7"/>
  <c r="K19" i="2"/>
  <c r="K58" i="4" s="1"/>
  <c r="K18" i="2"/>
  <c r="J58" i="4" s="1"/>
  <c r="D123" i="1"/>
  <c r="E123" i="1" s="1"/>
  <c r="F123" i="1" s="1"/>
  <c r="G123" i="1" s="1"/>
  <c r="H123" i="1" s="1"/>
  <c r="H125" i="1" s="1"/>
  <c r="K17" i="2"/>
  <c r="I58" i="4" s="1"/>
  <c r="K16" i="2"/>
  <c r="W32" i="7"/>
  <c r="S34" i="7"/>
  <c r="R34" i="7"/>
  <c r="N35" i="7"/>
  <c r="K15" i="2"/>
  <c r="J34" i="7"/>
  <c r="I34" i="7"/>
  <c r="K14" i="2"/>
  <c r="C36" i="7"/>
  <c r="M35" i="7"/>
  <c r="D35" i="7"/>
  <c r="K12" i="2"/>
  <c r="K13" i="2"/>
  <c r="F34" i="7"/>
  <c r="E35" i="7"/>
  <c r="K20" i="2"/>
  <c r="L58" i="4" s="1"/>
  <c r="J325" i="1"/>
  <c r="J317" i="1"/>
  <c r="J309" i="1"/>
  <c r="J301" i="1"/>
  <c r="J293" i="1"/>
  <c r="J285" i="1"/>
  <c r="J277" i="1"/>
  <c r="J269" i="1"/>
  <c r="J261" i="1"/>
  <c r="J253" i="1"/>
  <c r="J245" i="1"/>
  <c r="J237" i="1"/>
  <c r="O66" i="1"/>
  <c r="M79" i="1"/>
  <c r="M15" i="4" s="1"/>
  <c r="F155" i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J229" i="1"/>
  <c r="J326" i="1"/>
  <c r="J318" i="1"/>
  <c r="J310" i="1"/>
  <c r="J302" i="1"/>
  <c r="J294" i="1"/>
  <c r="J286" i="1"/>
  <c r="J278" i="1"/>
  <c r="J270" i="1"/>
  <c r="J262" i="1"/>
  <c r="J254" i="1"/>
  <c r="J246" i="1"/>
  <c r="J238" i="1"/>
  <c r="J230" i="1"/>
  <c r="H214" i="1"/>
  <c r="F58" i="4"/>
  <c r="I78" i="1"/>
  <c r="I14" i="4" s="1"/>
  <c r="D58" i="4"/>
  <c r="D65" i="4" s="1"/>
  <c r="H58" i="4"/>
  <c r="J330" i="1"/>
  <c r="J322" i="1"/>
  <c r="J314" i="1"/>
  <c r="J306" i="1"/>
  <c r="J298" i="1"/>
  <c r="J290" i="1"/>
  <c r="J282" i="1"/>
  <c r="J274" i="1"/>
  <c r="J258" i="1"/>
  <c r="J250" i="1"/>
  <c r="J242" i="1"/>
  <c r="J234" i="1"/>
  <c r="J226" i="1"/>
  <c r="J329" i="1"/>
  <c r="J321" i="1"/>
  <c r="J313" i="1"/>
  <c r="J305" i="1"/>
  <c r="J297" i="1"/>
  <c r="J289" i="1"/>
  <c r="J281" i="1"/>
  <c r="J273" i="1"/>
  <c r="J265" i="1"/>
  <c r="J257" i="1"/>
  <c r="J249" i="1"/>
  <c r="J241" i="1"/>
  <c r="J233" i="1"/>
  <c r="J225" i="1"/>
  <c r="J331" i="1"/>
  <c r="J323" i="1"/>
  <c r="J315" i="1"/>
  <c r="J307" i="1"/>
  <c r="J299" i="1"/>
  <c r="J291" i="1"/>
  <c r="J283" i="1"/>
  <c r="J275" i="1"/>
  <c r="J267" i="1"/>
  <c r="J259" i="1"/>
  <c r="J251" i="1"/>
  <c r="J243" i="1"/>
  <c r="J235" i="1"/>
  <c r="J227" i="1"/>
  <c r="J328" i="1"/>
  <c r="J320" i="1"/>
  <c r="J312" i="1"/>
  <c r="J304" i="1"/>
  <c r="J296" i="1"/>
  <c r="J288" i="1"/>
  <c r="J280" i="1"/>
  <c r="J272" i="1"/>
  <c r="J264" i="1"/>
  <c r="J256" i="1"/>
  <c r="J248" i="1"/>
  <c r="J240" i="1"/>
  <c r="J232" i="1"/>
  <c r="J266" i="1"/>
  <c r="J327" i="1"/>
  <c r="J319" i="1"/>
  <c r="J311" i="1"/>
  <c r="J303" i="1"/>
  <c r="J295" i="1"/>
  <c r="J287" i="1"/>
  <c r="J279" i="1"/>
  <c r="J271" i="1"/>
  <c r="J263" i="1"/>
  <c r="J255" i="1"/>
  <c r="J247" i="1"/>
  <c r="J239" i="1"/>
  <c r="J231" i="1"/>
  <c r="J332" i="1"/>
  <c r="J324" i="1"/>
  <c r="J316" i="1"/>
  <c r="J308" i="1"/>
  <c r="J300" i="1"/>
  <c r="J292" i="1"/>
  <c r="J284" i="1"/>
  <c r="J276" i="1"/>
  <c r="J268" i="1"/>
  <c r="J260" i="1"/>
  <c r="J252" i="1"/>
  <c r="J244" i="1"/>
  <c r="J236" i="1"/>
  <c r="J228" i="1"/>
  <c r="I214" i="1"/>
  <c r="H215" i="1"/>
  <c r="H224" i="1"/>
  <c r="I223" i="1"/>
  <c r="I215" i="1"/>
  <c r="I219" i="1"/>
  <c r="H223" i="1"/>
  <c r="H219" i="1"/>
  <c r="I222" i="1"/>
  <c r="I218" i="1"/>
  <c r="H222" i="1"/>
  <c r="H218" i="1"/>
  <c r="I221" i="1"/>
  <c r="I217" i="1"/>
  <c r="H221" i="1"/>
  <c r="H217" i="1"/>
  <c r="I224" i="1"/>
  <c r="I220" i="1"/>
  <c r="I216" i="1"/>
  <c r="H220" i="1"/>
  <c r="H216" i="1"/>
  <c r="H213" i="1"/>
  <c r="G213" i="1"/>
  <c r="I213" i="1" s="1"/>
  <c r="E183" i="1"/>
  <c r="E206" i="1"/>
  <c r="E211" i="1"/>
  <c r="E179" i="1"/>
  <c r="E171" i="1"/>
  <c r="E210" i="1"/>
  <c r="E191" i="1"/>
  <c r="E202" i="1"/>
  <c r="E195" i="1"/>
  <c r="E209" i="1"/>
  <c r="E205" i="1"/>
  <c r="E201" i="1"/>
  <c r="E175" i="1"/>
  <c r="E187" i="1"/>
  <c r="E208" i="1"/>
  <c r="E204" i="1"/>
  <c r="E200" i="1"/>
  <c r="E167" i="1"/>
  <c r="E207" i="1"/>
  <c r="E203" i="1"/>
  <c r="E199" i="1"/>
  <c r="E198" i="1"/>
  <c r="E194" i="1"/>
  <c r="E190" i="1"/>
  <c r="E186" i="1"/>
  <c r="E182" i="1"/>
  <c r="E178" i="1"/>
  <c r="E174" i="1"/>
  <c r="E170" i="1"/>
  <c r="E166" i="1"/>
  <c r="E197" i="1"/>
  <c r="E193" i="1"/>
  <c r="E189" i="1"/>
  <c r="E185" i="1"/>
  <c r="E181" i="1"/>
  <c r="E177" i="1"/>
  <c r="E173" i="1"/>
  <c r="E169" i="1"/>
  <c r="E165" i="1"/>
  <c r="E196" i="1"/>
  <c r="E192" i="1"/>
  <c r="E188" i="1"/>
  <c r="E184" i="1"/>
  <c r="E180" i="1"/>
  <c r="E176" i="1"/>
  <c r="E172" i="1"/>
  <c r="E168" i="1"/>
  <c r="E164" i="1"/>
  <c r="E159" i="1"/>
  <c r="G159" i="1" s="1"/>
  <c r="E158" i="1"/>
  <c r="G158" i="1" s="1"/>
  <c r="E160" i="1"/>
  <c r="G160" i="1" s="1"/>
  <c r="E152" i="1"/>
  <c r="E156" i="1"/>
  <c r="G156" i="1" s="1"/>
  <c r="E157" i="1"/>
  <c r="G157" i="1" s="1"/>
  <c r="E163" i="1"/>
  <c r="E155" i="1"/>
  <c r="E162" i="1"/>
  <c r="G162" i="1" s="1"/>
  <c r="E154" i="1"/>
  <c r="G154" i="1" s="1"/>
  <c r="E161" i="1"/>
  <c r="G161" i="1" s="1"/>
  <c r="D339" i="1"/>
  <c r="D136" i="1"/>
  <c r="D139" i="1"/>
  <c r="D140" i="1"/>
  <c r="D141" i="1"/>
  <c r="D143" i="1"/>
  <c r="D142" i="1"/>
  <c r="G125" i="1"/>
  <c r="F125" i="1"/>
  <c r="D125" i="1"/>
  <c r="E125" i="1"/>
  <c r="K80" i="1"/>
  <c r="K16" i="4" s="1"/>
  <c r="K59" i="4" s="1"/>
  <c r="K62" i="4" s="1"/>
  <c r="O61" i="1"/>
  <c r="L80" i="1"/>
  <c r="L16" i="4" s="1"/>
  <c r="L59" i="4" s="1"/>
  <c r="L62" i="4" s="1"/>
  <c r="J14" i="4"/>
  <c r="M77" i="1"/>
  <c r="M13" i="4" s="1"/>
  <c r="E71" i="1"/>
  <c r="E7" i="4" s="1"/>
  <c r="M76" i="1"/>
  <c r="M12" i="4" s="1"/>
  <c r="D73" i="1"/>
  <c r="D9" i="4" s="1"/>
  <c r="E75" i="1"/>
  <c r="E11" i="4" s="1"/>
  <c r="H60" i="1"/>
  <c r="H73" i="1" s="1"/>
  <c r="H9" i="4" s="1"/>
  <c r="I60" i="1"/>
  <c r="I73" i="1" s="1"/>
  <c r="I9" i="4" s="1"/>
  <c r="C9" i="2"/>
  <c r="T34" i="7" l="1"/>
  <c r="U34" i="7"/>
  <c r="L34" i="7"/>
  <c r="K34" i="7"/>
  <c r="E58" i="4"/>
  <c r="G58" i="4"/>
  <c r="F35" i="7"/>
  <c r="O35" i="7"/>
  <c r="J35" i="7"/>
  <c r="I35" i="7"/>
  <c r="E36" i="7"/>
  <c r="S35" i="7"/>
  <c r="R35" i="7"/>
  <c r="N36" i="7"/>
  <c r="C37" i="7"/>
  <c r="M36" i="7"/>
  <c r="N37" i="7" s="1"/>
  <c r="D36" i="7"/>
  <c r="E37" i="7" s="1"/>
  <c r="J214" i="1"/>
  <c r="F65" i="4"/>
  <c r="G65" i="4"/>
  <c r="E65" i="4"/>
  <c r="H65" i="4"/>
  <c r="J215" i="1"/>
  <c r="J220" i="1"/>
  <c r="J224" i="1"/>
  <c r="J223" i="1"/>
  <c r="J213" i="1"/>
  <c r="J217" i="1"/>
  <c r="J219" i="1"/>
  <c r="J221" i="1"/>
  <c r="J218" i="1"/>
  <c r="J216" i="1"/>
  <c r="J222" i="1"/>
  <c r="G152" i="1"/>
  <c r="G155" i="1"/>
  <c r="G163" i="1"/>
  <c r="F142" i="1"/>
  <c r="D337" i="1"/>
  <c r="J337" i="1" s="1"/>
  <c r="F140" i="1"/>
  <c r="D335" i="1"/>
  <c r="F136" i="1"/>
  <c r="D151" i="1"/>
  <c r="F143" i="1"/>
  <c r="D338" i="1"/>
  <c r="F141" i="1"/>
  <c r="D336" i="1"/>
  <c r="J336" i="1" s="1"/>
  <c r="F139" i="1"/>
  <c r="D334" i="1"/>
  <c r="D138" i="1"/>
  <c r="M80" i="1"/>
  <c r="M16" i="4" s="1"/>
  <c r="M59" i="4" s="1"/>
  <c r="M62" i="4" s="1"/>
  <c r="O60" i="1"/>
  <c r="C22" i="2"/>
  <c r="C51" i="2"/>
  <c r="C59" i="2"/>
  <c r="C67" i="2"/>
  <c r="C52" i="2"/>
  <c r="C60" i="2"/>
  <c r="C68" i="2"/>
  <c r="C53" i="2"/>
  <c r="C61" i="2"/>
  <c r="C69" i="2"/>
  <c r="C54" i="2"/>
  <c r="C62" i="2"/>
  <c r="C70" i="2"/>
  <c r="C49" i="2"/>
  <c r="C55" i="2"/>
  <c r="C63" i="2"/>
  <c r="C71" i="2"/>
  <c r="C57" i="2"/>
  <c r="C65" i="2"/>
  <c r="C58" i="2"/>
  <c r="C56" i="2"/>
  <c r="C64" i="2"/>
  <c r="C72" i="2"/>
  <c r="C50" i="2"/>
  <c r="C66" i="2"/>
  <c r="C14" i="2"/>
  <c r="C37" i="2"/>
  <c r="C29" i="2"/>
  <c r="C44" i="2"/>
  <c r="C32" i="2"/>
  <c r="C24" i="2"/>
  <c r="C23" i="2"/>
  <c r="C34" i="2"/>
  <c r="C41" i="2"/>
  <c r="C20" i="2"/>
  <c r="C33" i="2"/>
  <c r="C28" i="2"/>
  <c r="C42" i="2"/>
  <c r="C43" i="2"/>
  <c r="C36" i="2"/>
  <c r="C17" i="2"/>
  <c r="C47" i="2"/>
  <c r="C38" i="2"/>
  <c r="C27" i="2"/>
  <c r="C26" i="2"/>
  <c r="C48" i="2"/>
  <c r="C39" i="2"/>
  <c r="C30" i="2"/>
  <c r="C13" i="2"/>
  <c r="C15" i="2"/>
  <c r="C21" i="2"/>
  <c r="C16" i="2"/>
  <c r="C19" i="2"/>
  <c r="C35" i="2"/>
  <c r="C25" i="2"/>
  <c r="C46" i="2"/>
  <c r="C45" i="2"/>
  <c r="C18" i="2"/>
  <c r="C40" i="2"/>
  <c r="C31" i="2"/>
  <c r="T35" i="7" l="1"/>
  <c r="U35" i="7"/>
  <c r="K35" i="7"/>
  <c r="L35" i="7"/>
  <c r="W35" i="7" s="1"/>
  <c r="O36" i="7"/>
  <c r="W34" i="7"/>
  <c r="I36" i="7"/>
  <c r="J36" i="7"/>
  <c r="S36" i="7"/>
  <c r="R36" i="7"/>
  <c r="F36" i="7"/>
  <c r="C38" i="7"/>
  <c r="M37" i="7"/>
  <c r="D37" i="7"/>
  <c r="J338" i="1"/>
  <c r="J333" i="1"/>
  <c r="I335" i="1"/>
  <c r="H335" i="1"/>
  <c r="I151" i="1"/>
  <c r="H151" i="1"/>
  <c r="F138" i="1"/>
  <c r="E13" i="2"/>
  <c r="D152" i="1" s="1"/>
  <c r="T36" i="7" l="1"/>
  <c r="U36" i="7"/>
  <c r="L36" i="7"/>
  <c r="K36" i="7"/>
  <c r="I37" i="7"/>
  <c r="J37" i="7"/>
  <c r="E38" i="7"/>
  <c r="S37" i="7"/>
  <c r="R37" i="7"/>
  <c r="N38" i="7"/>
  <c r="C39" i="7"/>
  <c r="M38" i="7"/>
  <c r="D38" i="7"/>
  <c r="O37" i="7"/>
  <c r="F37" i="7"/>
  <c r="H152" i="1"/>
  <c r="I152" i="1"/>
  <c r="J151" i="1"/>
  <c r="J335" i="1"/>
  <c r="J334" i="1"/>
  <c r="F13" i="2"/>
  <c r="D14" i="2" s="1"/>
  <c r="I12" i="2"/>
  <c r="D59" i="1" s="1"/>
  <c r="T37" i="7" l="1"/>
  <c r="U37" i="7"/>
  <c r="K37" i="7"/>
  <c r="L37" i="7"/>
  <c r="W36" i="7"/>
  <c r="F38" i="7"/>
  <c r="O38" i="7"/>
  <c r="I38" i="7"/>
  <c r="J38" i="7"/>
  <c r="E39" i="7"/>
  <c r="C40" i="7"/>
  <c r="M39" i="7"/>
  <c r="D39" i="7"/>
  <c r="J152" i="1"/>
  <c r="R38" i="7"/>
  <c r="S38" i="7"/>
  <c r="N39" i="7"/>
  <c r="D72" i="1"/>
  <c r="D8" i="4" s="1"/>
  <c r="E14" i="2"/>
  <c r="D153" i="1" s="1"/>
  <c r="U38" i="7" l="1"/>
  <c r="T38" i="7"/>
  <c r="L38" i="7"/>
  <c r="K38" i="7"/>
  <c r="W38" i="7"/>
  <c r="I39" i="7"/>
  <c r="E40" i="7"/>
  <c r="W37" i="7"/>
  <c r="R39" i="7"/>
  <c r="N40" i="7"/>
  <c r="C41" i="7"/>
  <c r="M40" i="7"/>
  <c r="D40" i="7"/>
  <c r="O39" i="7"/>
  <c r="F39" i="7"/>
  <c r="I153" i="1"/>
  <c r="H153" i="1"/>
  <c r="D80" i="1"/>
  <c r="F14" i="2"/>
  <c r="D15" i="2" s="1"/>
  <c r="T39" i="7" l="1"/>
  <c r="U39" i="7"/>
  <c r="K39" i="7"/>
  <c r="L39" i="7"/>
  <c r="F40" i="7"/>
  <c r="O40" i="7"/>
  <c r="R40" i="7"/>
  <c r="N41" i="7"/>
  <c r="C42" i="7"/>
  <c r="M41" i="7"/>
  <c r="D41" i="7"/>
  <c r="I40" i="7"/>
  <c r="E41" i="7"/>
  <c r="D124" i="1"/>
  <c r="D16" i="4"/>
  <c r="D59" i="4" s="1"/>
  <c r="J153" i="1"/>
  <c r="D81" i="1"/>
  <c r="D17" i="4" s="1"/>
  <c r="E15" i="2"/>
  <c r="D154" i="1" s="1"/>
  <c r="U40" i="7" l="1"/>
  <c r="T40" i="7"/>
  <c r="K40" i="7"/>
  <c r="L40" i="7"/>
  <c r="F41" i="7"/>
  <c r="R41" i="7"/>
  <c r="N42" i="7"/>
  <c r="O42" i="7" s="1"/>
  <c r="O41" i="7"/>
  <c r="W39" i="7"/>
  <c r="I41" i="7"/>
  <c r="E42" i="7"/>
  <c r="C43" i="7"/>
  <c r="D42" i="7"/>
  <c r="M42" i="7"/>
  <c r="D62" i="4"/>
  <c r="D126" i="1"/>
  <c r="I154" i="1"/>
  <c r="H154" i="1"/>
  <c r="F15" i="2"/>
  <c r="D16" i="2" s="1"/>
  <c r="E16" i="2" s="1"/>
  <c r="D155" i="1" s="1"/>
  <c r="I13" i="2"/>
  <c r="E59" i="1" s="1"/>
  <c r="T41" i="7" l="1"/>
  <c r="U41" i="7"/>
  <c r="U42" i="7"/>
  <c r="T42" i="7"/>
  <c r="L41" i="7"/>
  <c r="K41" i="7"/>
  <c r="W40" i="7"/>
  <c r="F42" i="7"/>
  <c r="I42" i="7"/>
  <c r="E43" i="7"/>
  <c r="C44" i="7"/>
  <c r="M43" i="7"/>
  <c r="D43" i="7"/>
  <c r="R42" i="7"/>
  <c r="N43" i="7"/>
  <c r="O43" i="7" s="1"/>
  <c r="D66" i="4"/>
  <c r="D63" i="4"/>
  <c r="J154" i="1"/>
  <c r="H155" i="1"/>
  <c r="I155" i="1"/>
  <c r="E72" i="1"/>
  <c r="E8" i="4" s="1"/>
  <c r="F16" i="2"/>
  <c r="W41" i="7" l="1"/>
  <c r="T43" i="7"/>
  <c r="U43" i="7"/>
  <c r="L42" i="7"/>
  <c r="K42" i="7"/>
  <c r="F43" i="7"/>
  <c r="C45" i="7"/>
  <c r="M44" i="7"/>
  <c r="D44" i="7"/>
  <c r="I43" i="7"/>
  <c r="E44" i="7"/>
  <c r="R43" i="7"/>
  <c r="N44" i="7"/>
  <c r="J155" i="1"/>
  <c r="E80" i="1"/>
  <c r="D17" i="2"/>
  <c r="E17" i="2" s="1"/>
  <c r="O44" i="7" l="1"/>
  <c r="T44" i="7" s="1"/>
  <c r="W42" i="7"/>
  <c r="K43" i="7"/>
  <c r="L43" i="7"/>
  <c r="W43" i="7" s="1"/>
  <c r="R44" i="7"/>
  <c r="N45" i="7"/>
  <c r="O45" i="7" s="1"/>
  <c r="I44" i="7"/>
  <c r="E45" i="7"/>
  <c r="F44" i="7"/>
  <c r="C46" i="7"/>
  <c r="M45" i="7"/>
  <c r="D45" i="7"/>
  <c r="E124" i="1"/>
  <c r="E16" i="4"/>
  <c r="E59" i="4" s="1"/>
  <c r="F17" i="2"/>
  <c r="D18" i="2" s="1"/>
  <c r="E18" i="2" s="1"/>
  <c r="I14" i="2" s="1"/>
  <c r="F59" i="1" s="1"/>
  <c r="D156" i="1"/>
  <c r="E81" i="1"/>
  <c r="E17" i="4" s="1"/>
  <c r="U44" i="7" l="1"/>
  <c r="T45" i="7"/>
  <c r="U45" i="7"/>
  <c r="L44" i="7"/>
  <c r="K44" i="7"/>
  <c r="F45" i="7"/>
  <c r="I45" i="7"/>
  <c r="E46" i="7"/>
  <c r="R45" i="7"/>
  <c r="N46" i="7"/>
  <c r="C47" i="7"/>
  <c r="M46" i="7"/>
  <c r="D46" i="7"/>
  <c r="E126" i="1"/>
  <c r="E62" i="4"/>
  <c r="I156" i="1"/>
  <c r="H156" i="1"/>
  <c r="F18" i="2"/>
  <c r="D19" i="2" s="1"/>
  <c r="E19" i="2" s="1"/>
  <c r="D158" i="1" s="1"/>
  <c r="D157" i="1"/>
  <c r="F72" i="1"/>
  <c r="F8" i="4" s="1"/>
  <c r="F46" i="7" l="1"/>
  <c r="L46" i="7" s="1"/>
  <c r="K46" i="7"/>
  <c r="K45" i="7"/>
  <c r="L45" i="7"/>
  <c r="W44" i="7"/>
  <c r="R46" i="7"/>
  <c r="N47" i="7"/>
  <c r="O47" i="7" s="1"/>
  <c r="I46" i="7"/>
  <c r="E47" i="7"/>
  <c r="C48" i="7"/>
  <c r="M47" i="7"/>
  <c r="D47" i="7"/>
  <c r="O46" i="7"/>
  <c r="E66" i="4"/>
  <c r="E63" i="4"/>
  <c r="I158" i="1"/>
  <c r="H158" i="1"/>
  <c r="J156" i="1"/>
  <c r="I157" i="1"/>
  <c r="H157" i="1"/>
  <c r="F80" i="1"/>
  <c r="F19" i="2"/>
  <c r="D20" i="2" s="1"/>
  <c r="E20" i="2" s="1"/>
  <c r="W45" i="7" l="1"/>
  <c r="T47" i="7"/>
  <c r="U47" i="7"/>
  <c r="U46" i="7"/>
  <c r="W46" i="7" s="1"/>
  <c r="T46" i="7"/>
  <c r="F47" i="7"/>
  <c r="C49" i="7"/>
  <c r="M48" i="7"/>
  <c r="D48" i="7"/>
  <c r="I47" i="7"/>
  <c r="E48" i="7"/>
  <c r="R47" i="7"/>
  <c r="N48" i="7"/>
  <c r="F124" i="1"/>
  <c r="F16" i="4"/>
  <c r="F59" i="4" s="1"/>
  <c r="J157" i="1"/>
  <c r="J158" i="1"/>
  <c r="F20" i="2"/>
  <c r="D21" i="2" s="1"/>
  <c r="D159" i="1"/>
  <c r="F81" i="1"/>
  <c r="F17" i="4" s="1"/>
  <c r="O48" i="7" l="1"/>
  <c r="K47" i="7"/>
  <c r="L47" i="7"/>
  <c r="F48" i="7"/>
  <c r="R48" i="7"/>
  <c r="N49" i="7"/>
  <c r="I48" i="7"/>
  <c r="E49" i="7"/>
  <c r="C50" i="7"/>
  <c r="M49" i="7"/>
  <c r="D49" i="7"/>
  <c r="F126" i="1"/>
  <c r="F62" i="4"/>
  <c r="I159" i="1"/>
  <c r="H159" i="1"/>
  <c r="E21" i="2"/>
  <c r="D160" i="1" s="1"/>
  <c r="U48" i="7" l="1"/>
  <c r="T48" i="7"/>
  <c r="O49" i="7"/>
  <c r="W47" i="7"/>
  <c r="K48" i="7"/>
  <c r="L48" i="7"/>
  <c r="F49" i="7"/>
  <c r="M50" i="7"/>
  <c r="R50" i="7" s="1"/>
  <c r="D50" i="7"/>
  <c r="I50" i="7" s="1"/>
  <c r="I49" i="7"/>
  <c r="E50" i="7"/>
  <c r="R49" i="7"/>
  <c r="N50" i="7"/>
  <c r="F66" i="4"/>
  <c r="F63" i="4"/>
  <c r="J159" i="1"/>
  <c r="I160" i="1"/>
  <c r="H160" i="1"/>
  <c r="F21" i="2"/>
  <c r="I15" i="2"/>
  <c r="G59" i="1" s="1"/>
  <c r="D22" i="2"/>
  <c r="E22" i="2" s="1"/>
  <c r="D161" i="1" s="1"/>
  <c r="T49" i="7" l="1"/>
  <c r="U49" i="7"/>
  <c r="O50" i="7"/>
  <c r="K49" i="7"/>
  <c r="L49" i="7"/>
  <c r="F50" i="7"/>
  <c r="W48" i="7"/>
  <c r="D20" i="7"/>
  <c r="J160" i="1"/>
  <c r="I161" i="1"/>
  <c r="H161" i="1"/>
  <c r="G72" i="1"/>
  <c r="G8" i="4" s="1"/>
  <c r="F22" i="2"/>
  <c r="D23" i="2"/>
  <c r="E23" i="2" s="1"/>
  <c r="W49" i="7" l="1"/>
  <c r="T50" i="7"/>
  <c r="U50" i="7"/>
  <c r="L50" i="7"/>
  <c r="W50" i="7" s="1"/>
  <c r="D21" i="7" s="1"/>
  <c r="K50" i="7"/>
  <c r="J161" i="1"/>
  <c r="F23" i="2"/>
  <c r="D162" i="1"/>
  <c r="G80" i="1"/>
  <c r="D24" i="2"/>
  <c r="G124" i="1" l="1"/>
  <c r="G16" i="4"/>
  <c r="G59" i="4" s="1"/>
  <c r="H162" i="1"/>
  <c r="I162" i="1"/>
  <c r="G81" i="1"/>
  <c r="G17" i="4" s="1"/>
  <c r="E24" i="2"/>
  <c r="D163" i="1" s="1"/>
  <c r="G126" i="1" l="1"/>
  <c r="G62" i="4"/>
  <c r="J162" i="1"/>
  <c r="H163" i="1"/>
  <c r="I163" i="1"/>
  <c r="F24" i="2"/>
  <c r="I16" i="2"/>
  <c r="H59" i="1" s="1"/>
  <c r="D25" i="2"/>
  <c r="E25" i="2" s="1"/>
  <c r="D164" i="1" s="1"/>
  <c r="J164" i="1" l="1"/>
  <c r="G66" i="4"/>
  <c r="G63" i="4"/>
  <c r="J163" i="1"/>
  <c r="H72" i="1"/>
  <c r="H8" i="4" s="1"/>
  <c r="F25" i="2"/>
  <c r="D26" i="2"/>
  <c r="E26" i="2" s="1"/>
  <c r="F26" i="2" l="1"/>
  <c r="D165" i="1"/>
  <c r="H80" i="1"/>
  <c r="D27" i="2"/>
  <c r="E27" i="2" s="1"/>
  <c r="D166" i="1" s="1"/>
  <c r="J166" i="1" l="1"/>
  <c r="J165" i="1"/>
  <c r="H124" i="1"/>
  <c r="H16" i="4"/>
  <c r="H59" i="4" s="1"/>
  <c r="H81" i="1"/>
  <c r="H17" i="4" s="1"/>
  <c r="F27" i="2"/>
  <c r="D28" i="2"/>
  <c r="E28" i="2" s="1"/>
  <c r="H126" i="1" l="1"/>
  <c r="D128" i="1" s="1"/>
  <c r="D344" i="1" s="1"/>
  <c r="H62" i="4"/>
  <c r="F28" i="2"/>
  <c r="D167" i="1"/>
  <c r="D29" i="2"/>
  <c r="E29" i="2" s="1"/>
  <c r="D168" i="1" s="1"/>
  <c r="J168" i="1" l="1"/>
  <c r="J167" i="1"/>
  <c r="H66" i="4"/>
  <c r="D68" i="4" s="1"/>
  <c r="H63" i="4"/>
  <c r="F29" i="2"/>
  <c r="D30" i="2"/>
  <c r="E30" i="2" s="1"/>
  <c r="F30" i="2" l="1"/>
  <c r="D169" i="1"/>
  <c r="D31" i="2"/>
  <c r="E31" i="2" s="1"/>
  <c r="D170" i="1" s="1"/>
  <c r="J170" i="1" l="1"/>
  <c r="J169" i="1"/>
  <c r="F31" i="2"/>
  <c r="D32" i="2"/>
  <c r="E32" i="2" s="1"/>
  <c r="F32" i="2" l="1"/>
  <c r="D171" i="1"/>
  <c r="D33" i="2"/>
  <c r="E33" i="2" s="1"/>
  <c r="J171" i="1" l="1"/>
  <c r="F33" i="2"/>
  <c r="D172" i="1"/>
  <c r="D34" i="2"/>
  <c r="E34" i="2" s="1"/>
  <c r="J172" i="1" l="1"/>
  <c r="F34" i="2"/>
  <c r="D173" i="1"/>
  <c r="D35" i="2"/>
  <c r="E35" i="2" s="1"/>
  <c r="J173" i="1" l="1"/>
  <c r="F35" i="2"/>
  <c r="D174" i="1"/>
  <c r="D36" i="2"/>
  <c r="E36" i="2" s="1"/>
  <c r="J174" i="1" l="1"/>
  <c r="F36" i="2"/>
  <c r="D175" i="1"/>
  <c r="D37" i="2"/>
  <c r="E37" i="2" s="1"/>
  <c r="J175" i="1" l="1"/>
  <c r="F37" i="2"/>
  <c r="D38" i="2" s="1"/>
  <c r="E38" i="2" s="1"/>
  <c r="D176" i="1"/>
  <c r="J176" i="1" l="1"/>
  <c r="F38" i="2"/>
  <c r="D177" i="1"/>
  <c r="D39" i="2"/>
  <c r="E39" i="2" s="1"/>
  <c r="J177" i="1" l="1"/>
  <c r="F39" i="2"/>
  <c r="D178" i="1"/>
  <c r="D40" i="2"/>
  <c r="E40" i="2" s="1"/>
  <c r="J178" i="1" l="1"/>
  <c r="F40" i="2"/>
  <c r="D179" i="1"/>
  <c r="D41" i="2"/>
  <c r="E41" i="2" s="1"/>
  <c r="J179" i="1" l="1"/>
  <c r="F41" i="2"/>
  <c r="D180" i="1"/>
  <c r="D42" i="2"/>
  <c r="E42" i="2" s="1"/>
  <c r="J180" i="1" l="1"/>
  <c r="F42" i="2"/>
  <c r="D181" i="1"/>
  <c r="D43" i="2"/>
  <c r="E43" i="2" s="1"/>
  <c r="J181" i="1" l="1"/>
  <c r="F43" i="2"/>
  <c r="D182" i="1"/>
  <c r="D44" i="2"/>
  <c r="E44" i="2" s="1"/>
  <c r="J182" i="1" l="1"/>
  <c r="F44" i="2"/>
  <c r="D183" i="1"/>
  <c r="D45" i="2"/>
  <c r="E45" i="2" s="1"/>
  <c r="J183" i="1" l="1"/>
  <c r="F45" i="2"/>
  <c r="D184" i="1"/>
  <c r="D46" i="2"/>
  <c r="E46" i="2" s="1"/>
  <c r="J184" i="1" l="1"/>
  <c r="F46" i="2"/>
  <c r="D47" i="2" s="1"/>
  <c r="E47" i="2" s="1"/>
  <c r="D185" i="1"/>
  <c r="J185" i="1" l="1"/>
  <c r="F47" i="2"/>
  <c r="D186" i="1"/>
  <c r="D48" i="2"/>
  <c r="E48" i="2" s="1"/>
  <c r="J186" i="1" l="1"/>
  <c r="F48" i="2"/>
  <c r="D187" i="1"/>
  <c r="D49" i="2"/>
  <c r="E49" i="2" s="1"/>
  <c r="D188" i="1" s="1"/>
  <c r="J188" i="1" l="1"/>
  <c r="J187" i="1"/>
  <c r="F49" i="2"/>
  <c r="D50" i="2"/>
  <c r="E50" i="2" l="1"/>
  <c r="D189" i="1" s="1"/>
  <c r="J189" i="1" l="1"/>
  <c r="F50" i="2"/>
  <c r="D51" i="2"/>
  <c r="E51" i="2" s="1"/>
  <c r="F51" i="2" l="1"/>
  <c r="D190" i="1"/>
  <c r="D52" i="2"/>
  <c r="E52" i="2" s="1"/>
  <c r="D191" i="1" s="1"/>
  <c r="J191" i="1" l="1"/>
  <c r="J190" i="1"/>
  <c r="F52" i="2"/>
  <c r="D53" i="2" s="1"/>
  <c r="E53" i="2" s="1"/>
  <c r="D192" i="1" s="1"/>
  <c r="J192" i="1" l="1"/>
  <c r="F53" i="2"/>
  <c r="D54" i="2"/>
  <c r="E54" i="2" l="1"/>
  <c r="F54" i="2" l="1"/>
  <c r="D55" i="2" s="1"/>
  <c r="E55" i="2" s="1"/>
  <c r="D193" i="1"/>
  <c r="J193" i="1" l="1"/>
  <c r="F55" i="2"/>
  <c r="D194" i="1"/>
  <c r="D56" i="2"/>
  <c r="J194" i="1" l="1"/>
  <c r="E56" i="2"/>
  <c r="F56" i="2" l="1"/>
  <c r="D195" i="1"/>
  <c r="D57" i="2"/>
  <c r="J195" i="1" l="1"/>
  <c r="E57" i="2"/>
  <c r="F57" i="2" l="1"/>
  <c r="D196" i="1"/>
  <c r="D58" i="2"/>
  <c r="J196" i="1" l="1"/>
  <c r="E58" i="2"/>
  <c r="F58" i="2" l="1"/>
  <c r="D59" i="2" s="1"/>
  <c r="D197" i="1"/>
  <c r="E59" i="2"/>
  <c r="D198" i="1" s="1"/>
  <c r="J198" i="1" l="1"/>
  <c r="J197" i="1"/>
  <c r="F59" i="2"/>
  <c r="D60" i="2" s="1"/>
  <c r="E60" i="2" l="1"/>
  <c r="F60" i="2" l="1"/>
  <c r="D199" i="1"/>
  <c r="D61" i="2"/>
  <c r="E61" i="2" s="1"/>
  <c r="J199" i="1" l="1"/>
  <c r="F61" i="2"/>
  <c r="D200" i="1"/>
  <c r="D62" i="2"/>
  <c r="E62" i="2" s="1"/>
  <c r="J200" i="1" l="1"/>
  <c r="F62" i="2"/>
  <c r="D201" i="1"/>
  <c r="D63" i="2"/>
  <c r="E63" i="2" s="1"/>
  <c r="J201" i="1" l="1"/>
  <c r="F63" i="2"/>
  <c r="D202" i="1"/>
  <c r="D64" i="2"/>
  <c r="E64" i="2" s="1"/>
  <c r="J202" i="1" l="1"/>
  <c r="F64" i="2"/>
  <c r="D203" i="1"/>
  <c r="D65" i="2"/>
  <c r="J203" i="1" l="1"/>
  <c r="E65" i="2"/>
  <c r="F65" i="2" l="1"/>
  <c r="D204" i="1"/>
  <c r="D66" i="2"/>
  <c r="E66" i="2" s="1"/>
  <c r="J204" i="1" l="1"/>
  <c r="F66" i="2"/>
  <c r="D205" i="1"/>
  <c r="D67" i="2"/>
  <c r="E67" i="2" s="1"/>
  <c r="J205" i="1" l="1"/>
  <c r="F67" i="2"/>
  <c r="D206" i="1"/>
  <c r="D68" i="2"/>
  <c r="E68" i="2" s="1"/>
  <c r="J206" i="1" l="1"/>
  <c r="F68" i="2"/>
  <c r="D207" i="1"/>
  <c r="D69" i="2"/>
  <c r="E69" i="2" s="1"/>
  <c r="J207" i="1" l="1"/>
  <c r="F69" i="2"/>
  <c r="D70" i="2" s="1"/>
  <c r="E70" i="2" s="1"/>
  <c r="D208" i="1"/>
  <c r="J208" i="1" l="1"/>
  <c r="F70" i="2"/>
  <c r="D71" i="2" s="1"/>
  <c r="E71" i="2" s="1"/>
  <c r="D209" i="1"/>
  <c r="J209" i="1" l="1"/>
  <c r="F71" i="2"/>
  <c r="D210" i="1"/>
  <c r="D72" i="2"/>
  <c r="J210" i="1" l="1"/>
  <c r="E72" i="2"/>
  <c r="D211" i="1" s="1"/>
  <c r="J211" i="1" l="1"/>
  <c r="J212" i="1" s="1"/>
  <c r="J340" i="1" s="1"/>
  <c r="F72" i="2"/>
  <c r="I17" i="2"/>
  <c r="I59" i="1" s="1"/>
  <c r="I72" i="1" s="1"/>
  <c r="I8" i="4" s="1"/>
  <c r="I18" i="2"/>
  <c r="J59" i="1" s="1"/>
  <c r="D137" i="1" l="1"/>
  <c r="F137" i="1" s="1"/>
  <c r="F145" i="1" s="1"/>
  <c r="D346" i="1" s="1"/>
  <c r="I80" i="1"/>
  <c r="O59" i="1"/>
  <c r="J72" i="1"/>
  <c r="J8" i="4" s="1"/>
  <c r="D146" i="1" l="1"/>
  <c r="I81" i="1"/>
  <c r="I17" i="4" s="1"/>
  <c r="I16" i="4"/>
  <c r="I59" i="4" s="1"/>
  <c r="I62" i="4" s="1"/>
  <c r="I63" i="4" s="1"/>
  <c r="J80" i="1"/>
  <c r="J16" i="4" s="1"/>
  <c r="J59" i="4" s="1"/>
  <c r="J62" i="4" s="1"/>
  <c r="K81" i="1"/>
  <c r="K17" i="4" s="1"/>
  <c r="L81" i="1" l="1"/>
  <c r="L17" i="4" s="1"/>
  <c r="L63" i="4"/>
  <c r="J63" i="4"/>
  <c r="M63" i="4"/>
  <c r="K63" i="4"/>
  <c r="J81" i="1"/>
  <c r="J17" i="4" s="1"/>
  <c r="M81" i="1"/>
  <c r="M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tc={090C7557-8FB2-45D8-9B71-CBE2BD8AAD81}</author>
  </authors>
  <commentList>
    <comment ref="P338" authorId="0" shapeId="0" xr:uid="{090C7557-8FB2-45D8-9B71-CBE2BD8AAD81}">
      <text>
        <t>[Threaded comment]
Your version of Excel allows you to read this threaded comment; however, any edits to it will get removed if the file is opened in a newer version of Excel. Learn more: https://go.microsoft.com/fwlink/?linkid=870924
Comment:
    zero coupon bond repaid after 2 years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42E692-1E0E-4E27-B0C0-27FE83EC982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1906591-0041-431F-8B5E-29D7E2994D47}" name="WorksheetConnection_for slides!$D$45:$E$54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forslidesD45E541"/>
        </x15:connection>
      </ext>
    </extLst>
  </connection>
</connections>
</file>

<file path=xl/sharedStrings.xml><?xml version="1.0" encoding="utf-8"?>
<sst xmlns="http://schemas.openxmlformats.org/spreadsheetml/2006/main" count="506" uniqueCount="213">
  <si>
    <t>up to 1m</t>
  </si>
  <si>
    <t>1-3 years</t>
  </si>
  <si>
    <t>3-5 years</t>
  </si>
  <si>
    <t>5-7 years</t>
  </si>
  <si>
    <t>7-10 years</t>
  </si>
  <si>
    <t>1-3 mon</t>
  </si>
  <si>
    <t>3-6 mon</t>
  </si>
  <si>
    <t>6-9 mon</t>
  </si>
  <si>
    <t>9-12 mon</t>
  </si>
  <si>
    <t>up from 10 years</t>
  </si>
  <si>
    <t>Position</t>
  </si>
  <si>
    <t>№</t>
  </si>
  <si>
    <t>Loan to legal entity</t>
  </si>
  <si>
    <t>Mosprime 3m</t>
  </si>
  <si>
    <t>Mosprime 3M +1%</t>
  </si>
  <si>
    <t>interest rate</t>
  </si>
  <si>
    <t>month, frequency of update of interest rate</t>
  </si>
  <si>
    <t>Current date</t>
  </si>
  <si>
    <t>last update of interest rate</t>
  </si>
  <si>
    <t>Mortgage loan to individuals</t>
  </si>
  <si>
    <t>years to maturity</t>
  </si>
  <si>
    <t>eposure</t>
  </si>
  <si>
    <t>Maturity</t>
  </si>
  <si>
    <t>years</t>
  </si>
  <si>
    <t>Payments</t>
  </si>
  <si>
    <t>per year</t>
  </si>
  <si>
    <t>Principal</t>
  </si>
  <si>
    <t>Interest</t>
  </si>
  <si>
    <t>Annuity payment</t>
  </si>
  <si>
    <t>Annuity coefficient</t>
  </si>
  <si>
    <t>origination date</t>
  </si>
  <si>
    <t>interest rate for calc</t>
  </si>
  <si>
    <t>annuity payments each year</t>
  </si>
  <si>
    <t>Deposit to legal entity</t>
  </si>
  <si>
    <t>Investments in associates</t>
  </si>
  <si>
    <t>month to maturity</t>
  </si>
  <si>
    <t>Current accounts of legal entities without irreducable balance</t>
  </si>
  <si>
    <t>n/a</t>
  </si>
  <si>
    <t>Current accounts of individuals</t>
  </si>
  <si>
    <t>Debt securities issued</t>
  </si>
  <si>
    <t xml:space="preserve"> </t>
  </si>
  <si>
    <t>Principal paid monthly, by equal amount</t>
  </si>
  <si>
    <t>Equity</t>
  </si>
  <si>
    <t>Comments</t>
  </si>
  <si>
    <t>Interest rate would be reastimated in 2 month</t>
  </si>
  <si>
    <t>Principal repayment</t>
  </si>
  <si>
    <t>Allocate base of interest accruals (principal) across tenors</t>
  </si>
  <si>
    <t>check</t>
  </si>
  <si>
    <t>not sensitive to interest risk</t>
  </si>
  <si>
    <t>fixed rate, we pick tenor of repayments of principal</t>
  </si>
  <si>
    <t>step 1</t>
  </si>
  <si>
    <t>step 2</t>
  </si>
  <si>
    <t>Calculate interest rate gap and cumulative gap [ (+) bank recieves payment, (-) bank make payment ]</t>
  </si>
  <si>
    <t>Interest rate gap</t>
  </si>
  <si>
    <t>Cumulutive interest rate gap</t>
  </si>
  <si>
    <t>Step 3</t>
  </si>
  <si>
    <t>Step 3.1</t>
  </si>
  <si>
    <t>Step 3.2</t>
  </si>
  <si>
    <t>Calculation of 1year sensitivity by indirect method (less precise but easier to calculate)</t>
  </si>
  <si>
    <t>Metric</t>
  </si>
  <si>
    <t>Number of month from current date to end date of interval</t>
  </si>
  <si>
    <t>average amount of month for which new rate would be applied, we make an assumption that expiration is in the middle of the range</t>
  </si>
  <si>
    <t>Sensitivity in simple words - which PL bank will face, if interest rates for any instruments in portfolio will change starting from reporting date</t>
  </si>
  <si>
    <t>Sensitivity to 1p.p. up</t>
  </si>
  <si>
    <t>Volume</t>
  </si>
  <si>
    <t>Current interest rate</t>
  </si>
  <si>
    <t>Interest income on 1 year horizon</t>
  </si>
  <si>
    <t>Calculations</t>
  </si>
  <si>
    <t>Step 3.2.1</t>
  </si>
  <si>
    <t>Step 3.2.2</t>
  </si>
  <si>
    <t>Necessary info</t>
  </si>
  <si>
    <t>III. Any inflow or outflow we instantly reinvest using previous rate + sensitivity shift</t>
  </si>
  <si>
    <t>Simplifications and assumptions:</t>
  </si>
  <si>
    <t>II. Structure of the balance remain the same (no new instruments, no repayments)</t>
  </si>
  <si>
    <t>New interest rate</t>
  </si>
  <si>
    <t>Total mortgage loan to individuals</t>
  </si>
  <si>
    <t>no changes because this inflows are out of 1 year horizon, it will not reprice on new interest rate</t>
  </si>
  <si>
    <t>Total Loan to legal entity</t>
  </si>
  <si>
    <t>instrument is not sensitive</t>
  </si>
  <si>
    <t>the instrument is hardly sensitive to interest rate shifts</t>
  </si>
  <si>
    <t>Total interest accrued</t>
  </si>
  <si>
    <t>outstanding amount th $</t>
  </si>
  <si>
    <t>direct method</t>
  </si>
  <si>
    <t>indirect method</t>
  </si>
  <si>
    <t>differense</t>
  </si>
  <si>
    <t>indirectod method is quite precise</t>
  </si>
  <si>
    <t>Considerations on interest rate hedging and it's effect on sencitivity</t>
  </si>
  <si>
    <t>Calculate interest rate gap</t>
  </si>
  <si>
    <t>Step 1</t>
  </si>
  <si>
    <t>Step 2</t>
  </si>
  <si>
    <t>Make hedging derivative with the following charactrestics</t>
  </si>
  <si>
    <t>Notional amount</t>
  </si>
  <si>
    <t>th $</t>
  </si>
  <si>
    <t xml:space="preserve">Step 3 </t>
  </si>
  <si>
    <t>Adjusted interest rate gap</t>
  </si>
  <si>
    <t xml:space="preserve">Receive rate </t>
  </si>
  <si>
    <t>Pay rate</t>
  </si>
  <si>
    <t>fixed rate</t>
  </si>
  <si>
    <t>Interest rate gap original</t>
  </si>
  <si>
    <t>Hedging swap</t>
  </si>
  <si>
    <t>contractual term 5 years</t>
  </si>
  <si>
    <t>hedged</t>
  </si>
  <si>
    <t xml:space="preserve">Or </t>
  </si>
  <si>
    <t>Grant loans with floating rates</t>
  </si>
  <si>
    <t>In order to make hedging here we need to obtain some instrument which will generate floating inflow because we de facto have floating outflow</t>
  </si>
  <si>
    <t>I. Shift in interest rates is the same for all tenor (paralell shift)</t>
  </si>
  <si>
    <t>Sensitivity analysis executed by direct and indirect methods</t>
  </si>
  <si>
    <t>Assets</t>
  </si>
  <si>
    <t>Liabilities</t>
  </si>
  <si>
    <t>not sensitive</t>
  </si>
  <si>
    <t>1-3 m</t>
  </si>
  <si>
    <t>3-6 m</t>
  </si>
  <si>
    <t>6-9 m</t>
  </si>
  <si>
    <t>9-12 m</t>
  </si>
  <si>
    <t>1-3 y</t>
  </si>
  <si>
    <t>3-5 y</t>
  </si>
  <si>
    <t>5-7 y</t>
  </si>
  <si>
    <t>7-10 y</t>
  </si>
  <si>
    <t>Direct method</t>
  </si>
  <si>
    <t>Current interest rates</t>
  </si>
  <si>
    <t>Projected interest rates</t>
  </si>
  <si>
    <t>Calculation of 1year sensitivity by direct method on 1% parallel shift (precise but resource consuming for the bank)</t>
  </si>
  <si>
    <t>Interest rate risk in the banking book (bis.org)</t>
  </si>
  <si>
    <t>Sensitivity to 1p.p. up (∆NII)</t>
  </si>
  <si>
    <t>Months before the principals repaid</t>
  </si>
  <si>
    <t>Total interest accrued (NII)</t>
  </si>
  <si>
    <t>Debt securities issued (no coupon)</t>
  </si>
  <si>
    <t>Interest income on 1 year horizon with  (NII)</t>
  </si>
  <si>
    <t>∆EVE calc</t>
  </si>
  <si>
    <t>Printscreens below from:</t>
  </si>
  <si>
    <t>CF</t>
  </si>
  <si>
    <t>Loan</t>
  </si>
  <si>
    <t>Deposit</t>
  </si>
  <si>
    <t>Months</t>
  </si>
  <si>
    <t>NII</t>
  </si>
  <si>
    <t>Interest rate original</t>
  </si>
  <si>
    <t>Interest rate after 1% up shift</t>
  </si>
  <si>
    <t>EVE original</t>
  </si>
  <si>
    <t>EVE after 1% up shift</t>
  </si>
  <si>
    <t>Interest accrued on current interest rate</t>
  </si>
  <si>
    <t xml:space="preserve">Interest accrued on shifted interest rate </t>
  </si>
  <si>
    <t>Interest repayment per contract</t>
  </si>
  <si>
    <t>months</t>
  </si>
  <si>
    <t>EVE</t>
  </si>
  <si>
    <t>Drivers of NII and EVE:</t>
  </si>
  <si>
    <t>Assets avg. Int. rate</t>
  </si>
  <si>
    <t>Liabilities avg. Int. rate</t>
  </si>
  <si>
    <t>Double dimension gap</t>
  </si>
  <si>
    <t>O/N</t>
  </si>
  <si>
    <t>1m</t>
  </si>
  <si>
    <t>3m</t>
  </si>
  <si>
    <t>6m</t>
  </si>
  <si>
    <t>1Y</t>
  </si>
  <si>
    <t>2Y</t>
  </si>
  <si>
    <t>3Y</t>
  </si>
  <si>
    <t>5Y</t>
  </si>
  <si>
    <t>7Y</t>
  </si>
  <si>
    <t>10Y</t>
  </si>
  <si>
    <t>15Y</t>
  </si>
  <si>
    <t>4Y</t>
  </si>
  <si>
    <t>No tenor</t>
  </si>
  <si>
    <t>Sum</t>
  </si>
  <si>
    <t>Initial term</t>
  </si>
  <si>
    <t>Risidual term</t>
  </si>
  <si>
    <t>interest rate swap</t>
  </si>
  <si>
    <t>Margin decomposition</t>
  </si>
  <si>
    <t>FTP rates</t>
  </si>
  <si>
    <t>Deposit contract rate</t>
  </si>
  <si>
    <t>Loan contract rate</t>
  </si>
  <si>
    <t>Do not percept these graphs as liquidity dashboards. It presents the parts of the portfolio which are exposed to repricing on different tenors</t>
  </si>
  <si>
    <t>Principal repayment = new "repriced" portfolio</t>
  </si>
  <si>
    <t>1. Terms of instruments</t>
  </si>
  <si>
    <t>2. Interest rate gap (repricing)</t>
  </si>
  <si>
    <t>3. The ratio of interest-bearing assets to interest-bearing liabilities</t>
  </si>
  <si>
    <t>bullet payment</t>
  </si>
  <si>
    <t>Equity of the Bank</t>
  </si>
  <si>
    <t>Sensitivity calc per tenor =&gt; (PL effect)</t>
  </si>
  <si>
    <t>Sensitivity to 1p.p. up (∆NII)=&gt; (PL effect)</t>
  </si>
  <si>
    <t>Loans</t>
  </si>
  <si>
    <t>Deposits</t>
  </si>
  <si>
    <t>Deposits on market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</si>
  <si>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</si>
  <si>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</si>
  <si>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</si>
  <si>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</si>
  <si>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</si>
  <si>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</si>
  <si>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</si>
  <si>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</si>
  <si>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</si>
  <si>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</si>
  <si>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</si>
  <si>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FTP</t>
  </si>
  <si>
    <t>FTP 2</t>
  </si>
  <si>
    <t>FTP 1</t>
  </si>
  <si>
    <t>Market rates</t>
  </si>
  <si>
    <t>FTP rate</t>
  </si>
  <si>
    <t>Loans proposal</t>
  </si>
  <si>
    <t>Deposits proposal</t>
  </si>
  <si>
    <t>Funding of loans</t>
  </si>
  <si>
    <t>Loan 1</t>
  </si>
  <si>
    <t>Loan 2</t>
  </si>
  <si>
    <t>FTP based on factual cost of funding</t>
  </si>
  <si>
    <t>Interest rate swaps</t>
  </si>
  <si>
    <t>FTP extrapolated based on IRS</t>
  </si>
  <si>
    <t>FTP principle 3</t>
  </si>
  <si>
    <t xml:space="preserve">FTP </t>
  </si>
  <si>
    <t>Liquidity gap</t>
  </si>
  <si>
    <t>Cumulative liqudity gap</t>
  </si>
  <si>
    <t>range</t>
  </si>
  <si>
    <t>FTP adj on liquidity</t>
  </si>
  <si>
    <t>Risk free rate original</t>
  </si>
  <si>
    <t>Risk free rate 1%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</si>
</sst>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  <numFmt numFmtId="167" formatCode="_-* #,##0.0000_-;\-* #,##0.0000_-;_-* &quot;-&quot;??_-;_-@_-"/>
    <numFmt numFmtId="168" formatCode="_-* #,##0.0_-;\-* #,##0.0_-;_-* &quot;-&quot;??_-;_-@_-"/>
    <numFmt numFmtId="169" formatCode="_-* #,##0.0_-;\-* #,##0.0_-;_-* &quot;-&quot;?_-;_-@_-"/>
    <numFmt numFmtId="170" formatCode="_(* #,##0.00_);_(* \(#,##0.00\);_(* &quot;-&quot;??_);_(@_)"/>
    <numFmt numFmtId="171" formatCode="_ * #,##0.0_ ;_ * \-#,##0.0_ ;_ * &quot;-&quot;?_ ;_ @_ "/>
    <numFmt numFmtId="172" formatCode="_ * #,##0.00_ ;_ * \-#,##0.00_ ;_ * &quot;-&quot;?_ ;_ @_ "/>
    <numFmt numFmtId="173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9" fontId="2" fillId="0" borderId="0" xfId="0" applyNumberFormat="1" applyFont="1"/>
    <xf numFmtId="14" fontId="2" fillId="0" borderId="0" xfId="0" applyNumberFormat="1" applyFont="1"/>
    <xf numFmtId="166" fontId="2" fillId="0" borderId="0" xfId="1" applyNumberFormat="1" applyFont="1"/>
    <xf numFmtId="167" fontId="2" fillId="0" borderId="0" xfId="1" applyNumberFormat="1" applyFont="1"/>
    <xf numFmtId="10" fontId="2" fillId="0" borderId="0" xfId="2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8" fontId="2" fillId="0" borderId="1" xfId="0" applyNumberFormat="1" applyFont="1" applyBorder="1" applyAlignment="1">
      <alignment vertical="center"/>
    </xf>
    <xf numFmtId="9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4" fontId="2" fillId="0" borderId="0" xfId="1" applyFont="1" applyAlignment="1">
      <alignment vertical="center"/>
    </xf>
    <xf numFmtId="10" fontId="2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10" fontId="2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0" fontId="3" fillId="0" borderId="0" xfId="0" applyNumberFormat="1" applyFont="1" applyBorder="1" applyAlignment="1">
      <alignment vertical="center" wrapText="1"/>
    </xf>
    <xf numFmtId="168" fontId="3" fillId="0" borderId="0" xfId="0" applyNumberFormat="1" applyFont="1" applyBorder="1" applyAlignment="1">
      <alignment vertical="center"/>
    </xf>
    <xf numFmtId="9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14" fontId="2" fillId="0" borderId="5" xfId="0" applyNumberFormat="1" applyFont="1" applyBorder="1" applyAlignment="1">
      <alignment vertical="center" wrapText="1"/>
    </xf>
    <xf numFmtId="10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0" fontId="2" fillId="0" borderId="6" xfId="2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10" fontId="2" fillId="0" borderId="1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0" fontId="2" fillId="0" borderId="11" xfId="2" applyNumberFormat="1" applyFont="1" applyBorder="1" applyAlignment="1">
      <alignment vertical="center"/>
    </xf>
    <xf numFmtId="10" fontId="3" fillId="0" borderId="10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0" fontId="2" fillId="0" borderId="18" xfId="0" applyNumberFormat="1" applyFont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14" fontId="2" fillId="0" borderId="18" xfId="0" applyNumberFormat="1" applyFont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10" fontId="2" fillId="0" borderId="24" xfId="0" applyNumberFormat="1" applyFont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10" fontId="2" fillId="0" borderId="16" xfId="0" applyNumberFormat="1" applyFont="1" applyBorder="1" applyAlignment="1">
      <alignment vertical="center" wrapText="1"/>
    </xf>
    <xf numFmtId="10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0" fontId="2" fillId="0" borderId="16" xfId="2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168" fontId="2" fillId="0" borderId="1" xfId="1" applyNumberFormat="1" applyFont="1" applyBorder="1" applyAlignment="1">
      <alignment vertical="center"/>
    </xf>
    <xf numFmtId="168" fontId="2" fillId="0" borderId="1" xfId="1" applyNumberFormat="1" applyFont="1" applyFill="1" applyBorder="1" applyAlignment="1">
      <alignment vertical="center"/>
    </xf>
    <xf numFmtId="168" fontId="9" fillId="0" borderId="1" xfId="1" applyNumberFormat="1" applyFont="1" applyBorder="1" applyAlignment="1">
      <alignment vertical="center"/>
    </xf>
    <xf numFmtId="168" fontId="3" fillId="0" borderId="1" xfId="1" applyNumberFormat="1" applyFont="1" applyBorder="1" applyAlignment="1">
      <alignment vertical="center"/>
    </xf>
    <xf numFmtId="168" fontId="2" fillId="0" borderId="0" xfId="1" applyNumberFormat="1" applyFont="1" applyAlignment="1">
      <alignment vertical="center"/>
    </xf>
    <xf numFmtId="168" fontId="3" fillId="0" borderId="15" xfId="1" applyNumberFormat="1" applyFont="1" applyBorder="1" applyAlignment="1">
      <alignment vertical="center"/>
    </xf>
    <xf numFmtId="168" fontId="2" fillId="0" borderId="14" xfId="0" applyNumberFormat="1" applyFont="1" applyBorder="1" applyAlignment="1">
      <alignment vertical="center"/>
    </xf>
    <xf numFmtId="168" fontId="2" fillId="0" borderId="5" xfId="0" applyNumberFormat="1" applyFont="1" applyBorder="1" applyAlignment="1">
      <alignment vertical="center"/>
    </xf>
    <xf numFmtId="168" fontId="3" fillId="0" borderId="10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vertical="center"/>
    </xf>
    <xf numFmtId="168" fontId="2" fillId="0" borderId="24" xfId="0" applyNumberFormat="1" applyFont="1" applyBorder="1" applyAlignment="1">
      <alignment vertical="center"/>
    </xf>
    <xf numFmtId="168" fontId="2" fillId="0" borderId="16" xfId="0" applyNumberFormat="1" applyFont="1" applyBorder="1" applyAlignment="1">
      <alignment vertical="center"/>
    </xf>
    <xf numFmtId="168" fontId="3" fillId="0" borderId="18" xfId="1" applyNumberFormat="1" applyFont="1" applyBorder="1" applyAlignment="1">
      <alignment horizontal="center" vertical="center" wrapText="1"/>
    </xf>
    <xf numFmtId="168" fontId="3" fillId="0" borderId="20" xfId="1" applyNumberFormat="1" applyFont="1" applyBorder="1" applyAlignment="1">
      <alignment horizontal="center" vertical="center" wrapText="1"/>
    </xf>
    <xf numFmtId="168" fontId="2" fillId="0" borderId="6" xfId="1" applyNumberFormat="1" applyFont="1" applyBorder="1" applyAlignment="1">
      <alignment vertical="center"/>
    </xf>
    <xf numFmtId="168" fontId="2" fillId="0" borderId="7" xfId="1" applyNumberFormat="1" applyFont="1" applyBorder="1" applyAlignment="1">
      <alignment vertical="center"/>
    </xf>
    <xf numFmtId="168" fontId="2" fillId="0" borderId="14" xfId="1" applyNumberFormat="1" applyFont="1" applyFill="1" applyBorder="1" applyAlignment="1">
      <alignment vertical="center"/>
    </xf>
    <xf numFmtId="168" fontId="2" fillId="0" borderId="19" xfId="1" applyNumberFormat="1" applyFont="1" applyFill="1" applyBorder="1" applyAlignment="1">
      <alignment vertical="center"/>
    </xf>
    <xf numFmtId="168" fontId="2" fillId="0" borderId="24" xfId="1" applyNumberFormat="1" applyFont="1" applyFill="1" applyBorder="1" applyAlignment="1">
      <alignment vertical="center"/>
    </xf>
    <xf numFmtId="168" fontId="2" fillId="0" borderId="25" xfId="1" applyNumberFormat="1" applyFont="1" applyFill="1" applyBorder="1" applyAlignment="1">
      <alignment vertical="center"/>
    </xf>
    <xf numFmtId="168" fontId="2" fillId="0" borderId="16" xfId="1" applyNumberFormat="1" applyFont="1" applyBorder="1" applyAlignment="1">
      <alignment vertical="center"/>
    </xf>
    <xf numFmtId="168" fontId="2" fillId="0" borderId="27" xfId="1" applyNumberFormat="1" applyFont="1" applyBorder="1" applyAlignment="1">
      <alignment vertical="center"/>
    </xf>
    <xf numFmtId="168" fontId="3" fillId="0" borderId="0" xfId="1" applyNumberFormat="1" applyFont="1" applyAlignment="1">
      <alignment vertical="center"/>
    </xf>
    <xf numFmtId="168" fontId="2" fillId="0" borderId="0" xfId="1" applyNumberFormat="1" applyFont="1"/>
    <xf numFmtId="169" fontId="2" fillId="0" borderId="0" xfId="0" applyNumberFormat="1" applyFont="1"/>
    <xf numFmtId="164" fontId="2" fillId="0" borderId="0" xfId="0" applyNumberFormat="1" applyFont="1"/>
    <xf numFmtId="168" fontId="3" fillId="0" borderId="15" xfId="0" applyNumberFormat="1" applyFont="1" applyBorder="1"/>
    <xf numFmtId="0" fontId="11" fillId="0" borderId="0" xfId="0" applyFont="1" applyAlignment="1">
      <alignment vertical="center"/>
    </xf>
    <xf numFmtId="0" fontId="2" fillId="0" borderId="1" xfId="0" applyFont="1" applyBorder="1"/>
    <xf numFmtId="168" fontId="2" fillId="0" borderId="1" xfId="1" applyNumberFormat="1" applyFont="1" applyBorder="1"/>
    <xf numFmtId="0" fontId="3" fillId="0" borderId="0" xfId="0" applyFont="1" applyFill="1" applyAlignment="1">
      <alignment vertical="center"/>
    </xf>
    <xf numFmtId="168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8" fontId="3" fillId="0" borderId="2" xfId="1" applyNumberFormat="1" applyFont="1" applyFill="1" applyBorder="1" applyAlignment="1">
      <alignment vertical="center"/>
    </xf>
    <xf numFmtId="168" fontId="2" fillId="0" borderId="0" xfId="1" applyNumberFormat="1" applyFont="1" applyFill="1"/>
    <xf numFmtId="0" fontId="2" fillId="0" borderId="0" xfId="0" applyFont="1" applyFill="1"/>
    <xf numFmtId="168" fontId="3" fillId="0" borderId="7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0" fontId="2" fillId="3" borderId="1" xfId="2" applyNumberFormat="1" applyFont="1" applyFill="1" applyBorder="1" applyAlignment="1">
      <alignment vertical="center"/>
    </xf>
    <xf numFmtId="168" fontId="2" fillId="3" borderId="1" xfId="1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0" fontId="2" fillId="0" borderId="5" xfId="2" applyNumberFormat="1" applyFont="1" applyBorder="1" applyAlignment="1">
      <alignment vertical="center"/>
    </xf>
    <xf numFmtId="168" fontId="2" fillId="0" borderId="5" xfId="1" applyNumberFormat="1" applyFont="1" applyBorder="1" applyAlignment="1">
      <alignment vertical="center"/>
    </xf>
    <xf numFmtId="168" fontId="2" fillId="0" borderId="29" xfId="1" applyNumberFormat="1" applyFont="1" applyBorder="1" applyAlignment="1">
      <alignment vertical="center"/>
    </xf>
    <xf numFmtId="168" fontId="2" fillId="0" borderId="21" xfId="1" applyNumberFormat="1" applyFont="1" applyBorder="1" applyAlignment="1">
      <alignment vertical="center"/>
    </xf>
    <xf numFmtId="168" fontId="2" fillId="3" borderId="21" xfId="1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10" fontId="3" fillId="0" borderId="10" xfId="2" applyNumberFormat="1" applyFont="1" applyBorder="1" applyAlignment="1">
      <alignment vertical="center"/>
    </xf>
    <xf numFmtId="168" fontId="3" fillId="0" borderId="10" xfId="1" applyNumberFormat="1" applyFont="1" applyBorder="1" applyAlignment="1">
      <alignment vertical="center"/>
    </xf>
    <xf numFmtId="168" fontId="3" fillId="0" borderId="22" xfId="1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4" fontId="3" fillId="0" borderId="3" xfId="0" applyNumberFormat="1" applyFont="1" applyBorder="1" applyAlignment="1">
      <alignment vertical="center" wrapText="1"/>
    </xf>
    <xf numFmtId="168" fontId="3" fillId="0" borderId="3" xfId="0" applyNumberFormat="1" applyFont="1" applyBorder="1" applyAlignment="1">
      <alignment vertical="center"/>
    </xf>
    <xf numFmtId="10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0" fontId="3" fillId="0" borderId="3" xfId="2" applyNumberFormat="1" applyFont="1" applyBorder="1" applyAlignment="1">
      <alignment vertical="center"/>
    </xf>
    <xf numFmtId="168" fontId="3" fillId="0" borderId="3" xfId="1" applyNumberFormat="1" applyFont="1" applyBorder="1" applyAlignment="1">
      <alignment vertical="center"/>
    </xf>
    <xf numFmtId="168" fontId="3" fillId="0" borderId="31" xfId="1" applyNumberFormat="1" applyFont="1" applyBorder="1" applyAlignment="1">
      <alignment vertical="center"/>
    </xf>
    <xf numFmtId="14" fontId="2" fillId="0" borderId="16" xfId="0" applyNumberFormat="1" applyFont="1" applyBorder="1" applyAlignment="1">
      <alignment vertical="center" wrapText="1"/>
    </xf>
    <xf numFmtId="168" fontId="2" fillId="0" borderId="11" xfId="1" applyNumberFormat="1" applyFont="1" applyBorder="1" applyAlignment="1">
      <alignment vertical="center"/>
    </xf>
    <xf numFmtId="168" fontId="2" fillId="0" borderId="12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0" fillId="0" borderId="0" xfId="0" applyFont="1"/>
    <xf numFmtId="0" fontId="3" fillId="4" borderId="0" xfId="0" applyFont="1" applyFill="1" applyAlignment="1">
      <alignment vertical="center"/>
    </xf>
    <xf numFmtId="165" fontId="3" fillId="4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0" fontId="2" fillId="0" borderId="1" xfId="2" applyNumberFormat="1" applyFont="1" applyBorder="1"/>
    <xf numFmtId="10" fontId="2" fillId="0" borderId="1" xfId="2" applyNumberFormat="1" applyFont="1" applyFill="1" applyBorder="1"/>
    <xf numFmtId="0" fontId="2" fillId="0" borderId="0" xfId="0" applyFont="1" applyBorder="1"/>
    <xf numFmtId="0" fontId="4" fillId="0" borderId="0" xfId="3"/>
    <xf numFmtId="168" fontId="3" fillId="4" borderId="0" xfId="1" applyNumberFormat="1" applyFont="1" applyFill="1" applyAlignment="1">
      <alignment vertical="center"/>
    </xf>
    <xf numFmtId="168" fontId="3" fillId="0" borderId="0" xfId="1" applyNumberFormat="1" applyFont="1" applyAlignment="1">
      <alignment horizontal="center" vertical="center" wrapText="1"/>
    </xf>
    <xf numFmtId="168" fontId="2" fillId="2" borderId="0" xfId="1" applyNumberFormat="1" applyFont="1" applyFill="1" applyAlignment="1">
      <alignment vertical="center"/>
    </xf>
    <xf numFmtId="168" fontId="9" fillId="0" borderId="0" xfId="1" applyNumberFormat="1" applyFont="1" applyAlignment="1">
      <alignment vertical="center"/>
    </xf>
    <xf numFmtId="168" fontId="3" fillId="2" borderId="0" xfId="1" applyNumberFormat="1" applyFont="1" applyFill="1" applyAlignment="1">
      <alignment vertical="center"/>
    </xf>
    <xf numFmtId="168" fontId="2" fillId="0" borderId="0" xfId="1" applyNumberFormat="1" applyFont="1" applyAlignment="1">
      <alignment horizontal="center"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/>
    </xf>
    <xf numFmtId="168" fontId="13" fillId="0" borderId="15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2" fillId="0" borderId="0" xfId="1" applyNumberFormat="1" applyFont="1" applyAlignment="1">
      <alignment vertical="center" wrapText="1"/>
    </xf>
    <xf numFmtId="168" fontId="3" fillId="0" borderId="0" xfId="1" applyNumberFormat="1" applyFont="1" applyAlignment="1">
      <alignment vertical="center" wrapText="1"/>
    </xf>
    <xf numFmtId="168" fontId="3" fillId="4" borderId="0" xfId="1" applyNumberFormat="1" applyFont="1" applyFill="1" applyAlignment="1">
      <alignment vertical="center" wrapText="1"/>
    </xf>
    <xf numFmtId="168" fontId="2" fillId="0" borderId="1" xfId="1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vertical="center" wrapText="1"/>
    </xf>
    <xf numFmtId="168" fontId="2" fillId="2" borderId="0" xfId="1" applyNumberFormat="1" applyFont="1" applyFill="1" applyAlignment="1">
      <alignment vertical="center" wrapText="1"/>
    </xf>
    <xf numFmtId="168" fontId="3" fillId="0" borderId="0" xfId="1" applyNumberFormat="1" applyFont="1" applyFill="1" applyAlignment="1">
      <alignment vertical="center" wrapText="1"/>
    </xf>
    <xf numFmtId="168" fontId="9" fillId="0" borderId="0" xfId="1" applyNumberFormat="1" applyFont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165" fontId="2" fillId="0" borderId="0" xfId="0" applyNumberFormat="1" applyFont="1"/>
    <xf numFmtId="0" fontId="2" fillId="0" borderId="0" xfId="0" applyFont="1" applyAlignment="1">
      <alignment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3" xfId="0" applyFont="1" applyBorder="1"/>
    <xf numFmtId="165" fontId="2" fillId="0" borderId="33" xfId="0" applyNumberFormat="1" applyFont="1" applyBorder="1"/>
    <xf numFmtId="165" fontId="2" fillId="0" borderId="0" xfId="0" applyNumberFormat="1" applyFont="1" applyBorder="1"/>
    <xf numFmtId="9" fontId="2" fillId="0" borderId="0" xfId="0" applyNumberFormat="1" applyFont="1" applyBorder="1"/>
    <xf numFmtId="168" fontId="2" fillId="0" borderId="0" xfId="1" applyNumberFormat="1" applyFont="1" applyBorder="1"/>
    <xf numFmtId="165" fontId="2" fillId="0" borderId="11" xfId="0" applyNumberFormat="1" applyFont="1" applyBorder="1"/>
    <xf numFmtId="9" fontId="2" fillId="0" borderId="11" xfId="0" applyNumberFormat="1" applyFont="1" applyBorder="1"/>
    <xf numFmtId="172" fontId="2" fillId="0" borderId="0" xfId="0" applyNumberFormat="1" applyFont="1"/>
    <xf numFmtId="164" fontId="2" fillId="0" borderId="0" xfId="1" applyFont="1" applyBorder="1"/>
    <xf numFmtId="164" fontId="2" fillId="0" borderId="0" xfId="1" applyNumberFormat="1" applyFont="1" applyBorder="1"/>
    <xf numFmtId="164" fontId="2" fillId="5" borderId="0" xfId="1" applyFont="1" applyFill="1" applyBorder="1"/>
    <xf numFmtId="164" fontId="2" fillId="5" borderId="11" xfId="1" applyFont="1" applyFill="1" applyBorder="1"/>
    <xf numFmtId="165" fontId="2" fillId="0" borderId="0" xfId="1" applyNumberFormat="1" applyFont="1" applyBorder="1"/>
    <xf numFmtId="168" fontId="2" fillId="0" borderId="0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8" fontId="2" fillId="0" borderId="0" xfId="1" applyNumberFormat="1" applyFont="1" applyFill="1" applyBorder="1" applyAlignment="1">
      <alignment vertical="center"/>
    </xf>
    <xf numFmtId="168" fontId="13" fillId="0" borderId="0" xfId="1" applyNumberFormat="1" applyFont="1" applyFill="1" applyBorder="1" applyAlignment="1">
      <alignment vertical="center"/>
    </xf>
    <xf numFmtId="171" fontId="13" fillId="0" borderId="0" xfId="0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vertical="center"/>
    </xf>
    <xf numFmtId="171" fontId="2" fillId="0" borderId="0" xfId="0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vertical="center"/>
    </xf>
    <xf numFmtId="165" fontId="2" fillId="0" borderId="34" xfId="0" applyNumberFormat="1" applyFont="1" applyBorder="1"/>
    <xf numFmtId="173" fontId="2" fillId="0" borderId="0" xfId="2" applyNumberFormat="1" applyFont="1"/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2" fillId="6" borderId="1" xfId="0" applyFont="1" applyFill="1" applyBorder="1"/>
    <xf numFmtId="0" fontId="3" fillId="0" borderId="1" xfId="0" applyFont="1" applyBorder="1"/>
    <xf numFmtId="173" fontId="2" fillId="0" borderId="1" xfId="2" applyNumberFormat="1" applyFont="1" applyBorder="1"/>
    <xf numFmtId="173" fontId="2" fillId="0" borderId="1" xfId="2" applyNumberFormat="1" applyFont="1" applyFill="1" applyBorder="1"/>
    <xf numFmtId="173" fontId="2" fillId="0" borderId="1" xfId="0" applyNumberFormat="1" applyFont="1" applyBorder="1" applyAlignment="1">
      <alignment vertical="center"/>
    </xf>
    <xf numFmtId="173" fontId="2" fillId="0" borderId="1" xfId="2" applyNumberFormat="1" applyFont="1" applyBorder="1" applyAlignment="1">
      <alignment vertical="center"/>
    </xf>
    <xf numFmtId="173" fontId="2" fillId="0" borderId="1" xfId="1" applyNumberFormat="1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2" fillId="0" borderId="0" xfId="1" applyNumberFormat="1" applyFont="1"/>
    <xf numFmtId="171" fontId="2" fillId="0" borderId="0" xfId="0" applyNumberFormat="1" applyFont="1" applyAlignment="1">
      <alignment vertical="center"/>
    </xf>
    <xf numFmtId="173" fontId="2" fillId="0" borderId="0" xfId="0" applyNumberFormat="1" applyFont="1"/>
    <xf numFmtId="0" fontId="15" fillId="2" borderId="0" xfId="0" applyFont="1" applyFill="1"/>
    <xf numFmtId="171" fontId="2" fillId="0" borderId="0" xfId="0" applyNumberFormat="1" applyFont="1"/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165" fontId="2" fillId="0" borderId="41" xfId="0" applyNumberFormat="1" applyFont="1" applyBorder="1"/>
    <xf numFmtId="168" fontId="2" fillId="0" borderId="42" xfId="1" applyNumberFormat="1" applyFont="1" applyBorder="1"/>
    <xf numFmtId="165" fontId="2" fillId="0" borderId="41" xfId="1" applyNumberFormat="1" applyFont="1" applyBorder="1"/>
    <xf numFmtId="165" fontId="2" fillId="0" borderId="43" xfId="1" applyNumberFormat="1" applyFont="1" applyBorder="1"/>
    <xf numFmtId="165" fontId="2" fillId="0" borderId="44" xfId="1" applyNumberFormat="1" applyFont="1" applyBorder="1"/>
    <xf numFmtId="9" fontId="2" fillId="0" borderId="44" xfId="0" applyNumberFormat="1" applyFont="1" applyBorder="1"/>
    <xf numFmtId="164" fontId="2" fillId="0" borderId="44" xfId="1" applyFont="1" applyBorder="1"/>
    <xf numFmtId="168" fontId="2" fillId="0" borderId="44" xfId="1" applyNumberFormat="1" applyFont="1" applyBorder="1"/>
    <xf numFmtId="168" fontId="2" fillId="0" borderId="45" xfId="1" applyNumberFormat="1" applyFont="1" applyBorder="1"/>
    <xf numFmtId="0" fontId="3" fillId="0" borderId="3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omma 2" xfId="4" xr:uid="{E1FF5BF4-666E-4D46-877F-9E9F8D5C8F53}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6901584129592E-2"/>
          <c:y val="3.8737437445647276E-2"/>
          <c:w val="0.91466381011562481"/>
          <c:h val="0.806850324370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'IR gap and ∆NII - detailed calc'!$C$80</c:f>
              <c:strCache>
                <c:ptCount val="1"/>
                <c:pt idx="0">
                  <c:v>Interest rate gap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9.3298319139784754E-17"/>
                  <c:y val="9.8995673472209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D-441B-945E-04E7D0F98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 gap and ∆NII - detailed calc'!$D$70:$M$70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'IR gap and ∆NII - detailed calc'!$D$80:$M$80</c:f>
              <c:numCache>
                <c:formatCode>_-* #,##0.0_-;\-* #,##0.0_-;_-* "-"??_-;_-@_-</c:formatCode>
                <c:ptCount val="10"/>
                <c:pt idx="0">
                  <c:v>162.89930086358669</c:v>
                </c:pt>
                <c:pt idx="1">
                  <c:v>-4669.9500339746828</c:v>
                </c:pt>
                <c:pt idx="2">
                  <c:v>505.97129168887943</c:v>
                </c:pt>
                <c:pt idx="3">
                  <c:v>519.48777192662067</c:v>
                </c:pt>
                <c:pt idx="4">
                  <c:v>533.51748242276403</c:v>
                </c:pt>
                <c:pt idx="5">
                  <c:v>-158.41678407502059</c:v>
                </c:pt>
                <c:pt idx="6">
                  <c:v>6106.4909711477931</c:v>
                </c:pt>
                <c:pt idx="7">
                  <c:v>1200</c:v>
                </c:pt>
                <c:pt idx="8">
                  <c:v>1800</c:v>
                </c:pt>
                <c:pt idx="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C-4B59-9AF1-11946267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800768"/>
        <c:axId val="1589791200"/>
      </c:barChart>
      <c:lineChart>
        <c:grouping val="standard"/>
        <c:varyColors val="0"/>
        <c:ser>
          <c:idx val="1"/>
          <c:order val="1"/>
          <c:tx>
            <c:strRef>
              <c:f>'IR gap and ∆NII - detailed calc'!$C$81</c:f>
              <c:strCache>
                <c:ptCount val="1"/>
                <c:pt idx="0">
                  <c:v>Cumulutive interest rate gap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'IR gap and ∆NII - detailed calc'!$D$70:$M$70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'IR gap and ∆NII - detailed calc'!$D$81:$M$81</c:f>
              <c:numCache>
                <c:formatCode>_-* #,##0.0_-;\-* #,##0.0_-;_-* "-"??_-;_-@_-</c:formatCode>
                <c:ptCount val="10"/>
                <c:pt idx="0">
                  <c:v>162.89930086358669</c:v>
                </c:pt>
                <c:pt idx="1">
                  <c:v>-4507.0507331110957</c:v>
                </c:pt>
                <c:pt idx="2">
                  <c:v>-4001.0794414222164</c:v>
                </c:pt>
                <c:pt idx="3">
                  <c:v>-3481.5916694955959</c:v>
                </c:pt>
                <c:pt idx="4">
                  <c:v>-2948.0741870728316</c:v>
                </c:pt>
                <c:pt idx="5">
                  <c:v>-3106.4909711478522</c:v>
                </c:pt>
                <c:pt idx="6">
                  <c:v>2999.9999999999409</c:v>
                </c:pt>
                <c:pt idx="7">
                  <c:v>4199.9999999999409</c:v>
                </c:pt>
                <c:pt idx="8">
                  <c:v>5999.9999999999409</c:v>
                </c:pt>
                <c:pt idx="9">
                  <c:v>-5.9117155615240335E-11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C-4B59-9AF1-11946267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800768"/>
        <c:axId val="1589791200"/>
      </c:lineChart>
      <c:catAx>
        <c:axId val="158980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589791200"/>
        <c:crosses val="autoZero"/>
        <c:auto val="1"/>
        <c:lblAlgn val="ctr"/>
        <c:lblOffset val="100"/>
        <c:noMultiLvlLbl val="0"/>
      </c:catAx>
      <c:valAx>
        <c:axId val="15897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58980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'interest rate hedge'!$C$16</c:f>
              <c:strCache>
                <c:ptCount val="1"/>
                <c:pt idx="0">
                  <c:v>Interest rate gap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'interest rate hedge'!$D$6:$M$6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'interest rate hedge'!$D$16:$M$16</c:f>
              <c:numCache>
                <c:formatCode>_-* #,##0.0_-;\-* #,##0.0_-;_-* "-"??_-;_-@_-</c:formatCode>
                <c:ptCount val="10"/>
                <c:pt idx="0">
                  <c:v>162.89930086358669</c:v>
                </c:pt>
                <c:pt idx="1">
                  <c:v>-4669.9500339746828</c:v>
                </c:pt>
                <c:pt idx="2">
                  <c:v>505.97129168887943</c:v>
                </c:pt>
                <c:pt idx="3">
                  <c:v>519.48777192662067</c:v>
                </c:pt>
                <c:pt idx="4">
                  <c:v>533.51748242276403</c:v>
                </c:pt>
                <c:pt idx="5">
                  <c:v>-158.41678407502059</c:v>
                </c:pt>
                <c:pt idx="6">
                  <c:v>6106.4909711477931</c:v>
                </c:pt>
                <c:pt idx="7">
                  <c:v>1200</c:v>
                </c:pt>
                <c:pt idx="8">
                  <c:v>1800</c:v>
                </c:pt>
                <c:pt idx="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EC5-8FAA-7195DAFF3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4914976"/>
        <c:axId val="794896256"/>
      </c:barChart>
      <c:lineChart>
        <c:grouping val="standard"/>
        <c:varyColors val="0"/>
        <c:ser>
          <c:idx val="1"/>
          <c:order val="1"/>
          <c:tx>
            <c:strRef>
              <c:f>'interest rate hedge'!$C$17</c:f>
              <c:strCache>
                <c:ptCount val="1"/>
                <c:pt idx="0">
                  <c:v>Cumulutive interest rate gap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'interest rate hedge'!$D$6:$M$6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'interest rate hedge'!$D$17:$M$17</c:f>
              <c:numCache>
                <c:formatCode>_-* #,##0.0_-;\-* #,##0.0_-;_-* "-"??_-;_-@_-</c:formatCode>
                <c:ptCount val="10"/>
                <c:pt idx="0">
                  <c:v>162.89930086358669</c:v>
                </c:pt>
                <c:pt idx="1">
                  <c:v>-4507.0507331110957</c:v>
                </c:pt>
                <c:pt idx="2">
                  <c:v>-4001.0794414222164</c:v>
                </c:pt>
                <c:pt idx="3">
                  <c:v>-3481.5916694955959</c:v>
                </c:pt>
                <c:pt idx="4">
                  <c:v>-2948.0741870728316</c:v>
                </c:pt>
                <c:pt idx="5">
                  <c:v>-3106.4909711478522</c:v>
                </c:pt>
                <c:pt idx="6">
                  <c:v>2999.9999999999409</c:v>
                </c:pt>
                <c:pt idx="7">
                  <c:v>4199.9999999999409</c:v>
                </c:pt>
                <c:pt idx="8">
                  <c:v>5999.9999999999409</c:v>
                </c:pt>
                <c:pt idx="9">
                  <c:v>-5.9117155615240335E-11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EC5-8FAA-7195DAFF3E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4914976"/>
        <c:axId val="794896256"/>
      </c:lineChart>
      <c:catAx>
        <c:axId val="79491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94896256"/>
        <c:crosses val="autoZero"/>
        <c:auto val="1"/>
        <c:lblAlgn val="ctr"/>
        <c:lblOffset val="100"/>
        <c:noMultiLvlLbl val="0"/>
      </c:catAx>
      <c:valAx>
        <c:axId val="794896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crossAx val="79491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4705621956618E-2"/>
          <c:y val="4.6296296296296294E-2"/>
          <c:w val="0.95130588756086765"/>
          <c:h val="0.7922448235637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'interest rate hedge'!$C$62</c:f>
              <c:strCache>
                <c:ptCount val="1"/>
                <c:pt idx="0">
                  <c:v>Interest rate gap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55555555555555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6-4359-BB33-AC11596E8DAC}"/>
                </c:ext>
              </c:extLst>
            </c:dLbl>
            <c:dLbl>
              <c:idx val="5"/>
              <c:layout>
                <c:manualLayout>
                  <c:x val="-2.2133687472333701E-3"/>
                  <c:y val="-4.62959317585300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6-4359-BB33-AC11596E8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'interest rate hedge'!$D$6:$M$6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'interest rate hedge'!$D$62:$M$62</c:f>
              <c:numCache>
                <c:formatCode>_-* #,##0.0_-;\-* #,##0.0_-;_-* "-"??_-;_-@_-</c:formatCode>
                <c:ptCount val="10"/>
                <c:pt idx="0">
                  <c:v>162.89930086358669</c:v>
                </c:pt>
                <c:pt idx="1">
                  <c:v>-669.95003397468281</c:v>
                </c:pt>
                <c:pt idx="2">
                  <c:v>505.97129168887943</c:v>
                </c:pt>
                <c:pt idx="3">
                  <c:v>519.48777192662067</c:v>
                </c:pt>
                <c:pt idx="4">
                  <c:v>533.51748242276403</c:v>
                </c:pt>
                <c:pt idx="5">
                  <c:v>-158.41678407502059</c:v>
                </c:pt>
                <c:pt idx="6">
                  <c:v>2106.4909711477931</c:v>
                </c:pt>
                <c:pt idx="7">
                  <c:v>1200</c:v>
                </c:pt>
                <c:pt idx="8">
                  <c:v>1800</c:v>
                </c:pt>
                <c:pt idx="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6-4359-BB33-AC11596E8D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4914976"/>
        <c:axId val="794896256"/>
      </c:barChart>
      <c:lineChart>
        <c:grouping val="standard"/>
        <c:varyColors val="0"/>
        <c:ser>
          <c:idx val="1"/>
          <c:order val="1"/>
          <c:tx>
            <c:strRef>
              <c:f>'interest rate hedge'!$C$63</c:f>
              <c:strCache>
                <c:ptCount val="1"/>
                <c:pt idx="0">
                  <c:v>Cumulutive interest rate gap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'interest rate hedge'!$D$6:$M$6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'interest rate hedge'!$D$63:$M$63</c:f>
              <c:numCache>
                <c:formatCode>_-* #,##0.0_-;\-* #,##0.0_-;_-* "-"??_-;_-@_-</c:formatCode>
                <c:ptCount val="10"/>
                <c:pt idx="0">
                  <c:v>162.89930086358669</c:v>
                </c:pt>
                <c:pt idx="1">
                  <c:v>-507.05073311109612</c:v>
                </c:pt>
                <c:pt idx="2">
                  <c:v>-1.0794414222166893</c:v>
                </c:pt>
                <c:pt idx="3">
                  <c:v>518.40833050440392</c:v>
                </c:pt>
                <c:pt idx="4">
                  <c:v>1051.925812927168</c:v>
                </c:pt>
                <c:pt idx="5">
                  <c:v>893.50902885214737</c:v>
                </c:pt>
                <c:pt idx="6">
                  <c:v>2999.9999999999404</c:v>
                </c:pt>
                <c:pt idx="7">
                  <c:v>4199.99999999994</c:v>
                </c:pt>
                <c:pt idx="8">
                  <c:v>5999.99999999994</c:v>
                </c:pt>
                <c:pt idx="9">
                  <c:v>-6.0026650317013264E-11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6-4359-BB33-AC11596E8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4914976"/>
        <c:axId val="794896256"/>
      </c:lineChart>
      <c:catAx>
        <c:axId val="79491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94896256"/>
        <c:crosses val="autoZero"/>
        <c:auto val="1"/>
        <c:lblAlgn val="ctr"/>
        <c:lblOffset val="100"/>
        <c:noMultiLvlLbl val="0"/>
      </c:catAx>
      <c:valAx>
        <c:axId val="794896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crossAx val="79491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6901584129592E-2"/>
          <c:y val="3.8737437445647276E-2"/>
          <c:w val="0.91466381011562481"/>
          <c:h val="0.806850324370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'IR gap and ∆NII - detailed calc'!$C$80</c:f>
              <c:strCache>
                <c:ptCount val="1"/>
                <c:pt idx="0">
                  <c:v>Interest rate gap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9.3298319139784754E-17"/>
                  <c:y val="9.8995673472209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35-418D-9E72-5306FAEDC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 gap and ∆NII - detailed calc'!$D$70:$M$70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'IR gap and ∆NII - detailed calc'!$D$80:$M$80</c:f>
              <c:numCache>
                <c:formatCode>_-* #,##0.0_-;\-* #,##0.0_-;_-* "-"??_-;_-@_-</c:formatCode>
                <c:ptCount val="10"/>
                <c:pt idx="0">
                  <c:v>162.89930086358669</c:v>
                </c:pt>
                <c:pt idx="1">
                  <c:v>-4669.9500339746828</c:v>
                </c:pt>
                <c:pt idx="2">
                  <c:v>505.97129168887943</c:v>
                </c:pt>
                <c:pt idx="3">
                  <c:v>519.48777192662067</c:v>
                </c:pt>
                <c:pt idx="4">
                  <c:v>533.51748242276403</c:v>
                </c:pt>
                <c:pt idx="5">
                  <c:v>-158.41678407502059</c:v>
                </c:pt>
                <c:pt idx="6">
                  <c:v>6106.4909711477931</c:v>
                </c:pt>
                <c:pt idx="7">
                  <c:v>1200</c:v>
                </c:pt>
                <c:pt idx="8">
                  <c:v>1800</c:v>
                </c:pt>
                <c:pt idx="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5-418D-9E72-5306FAEDC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800768"/>
        <c:axId val="1589791200"/>
      </c:barChart>
      <c:lineChart>
        <c:grouping val="standard"/>
        <c:varyColors val="0"/>
        <c:ser>
          <c:idx val="1"/>
          <c:order val="1"/>
          <c:tx>
            <c:strRef>
              <c:f>'IR gap and ∆NII - detailed calc'!$C$81</c:f>
              <c:strCache>
                <c:ptCount val="1"/>
                <c:pt idx="0">
                  <c:v>Cumulutive interest rate gap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'IR gap and ∆NII - detailed calc'!$D$70:$M$70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'IR gap and ∆NII - detailed calc'!$D$81:$M$81</c:f>
              <c:numCache>
                <c:formatCode>_-* #,##0.0_-;\-* #,##0.0_-;_-* "-"??_-;_-@_-</c:formatCode>
                <c:ptCount val="10"/>
                <c:pt idx="0">
                  <c:v>162.89930086358669</c:v>
                </c:pt>
                <c:pt idx="1">
                  <c:v>-4507.0507331110957</c:v>
                </c:pt>
                <c:pt idx="2">
                  <c:v>-4001.0794414222164</c:v>
                </c:pt>
                <c:pt idx="3">
                  <c:v>-3481.5916694955959</c:v>
                </c:pt>
                <c:pt idx="4">
                  <c:v>-2948.0741870728316</c:v>
                </c:pt>
                <c:pt idx="5">
                  <c:v>-3106.4909711478522</c:v>
                </c:pt>
                <c:pt idx="6">
                  <c:v>2999.9999999999409</c:v>
                </c:pt>
                <c:pt idx="7">
                  <c:v>4199.9999999999409</c:v>
                </c:pt>
                <c:pt idx="8">
                  <c:v>5999.9999999999409</c:v>
                </c:pt>
                <c:pt idx="9">
                  <c:v>-5.9117155615240335E-11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35-418D-9E72-5306FAEDC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800768"/>
        <c:axId val="1589791200"/>
      </c:lineChart>
      <c:catAx>
        <c:axId val="158980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NL"/>
          </a:p>
        </c:txPr>
        <c:crossAx val="1589791200"/>
        <c:crosses val="autoZero"/>
        <c:auto val="1"/>
        <c:lblAlgn val="ctr"/>
        <c:lblOffset val="100"/>
        <c:noMultiLvlLbl val="0"/>
      </c:catAx>
      <c:valAx>
        <c:axId val="15897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NL"/>
          </a:p>
        </c:txPr>
        <c:crossAx val="158980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'for slides'!$C$15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 slides'!$D$4:$M$4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'for slides'!$D$15:$M$15</c:f>
              <c:numCache>
                <c:formatCode>_-* #,##0.0_-;\-* #,##0.0_-;_-* "-"??_-;_-@_-</c:formatCode>
                <c:ptCount val="10"/>
                <c:pt idx="0">
                  <c:v>162.89930086358669</c:v>
                </c:pt>
                <c:pt idx="1">
                  <c:v>10330.049966025317</c:v>
                </c:pt>
                <c:pt idx="2">
                  <c:v>505.97129168887943</c:v>
                </c:pt>
                <c:pt idx="3">
                  <c:v>519.48777192662067</c:v>
                </c:pt>
                <c:pt idx="4">
                  <c:v>533.51748242276403</c:v>
                </c:pt>
                <c:pt idx="5">
                  <c:v>4841.5832159249794</c:v>
                </c:pt>
                <c:pt idx="6">
                  <c:v>6106.4909711477931</c:v>
                </c:pt>
                <c:pt idx="7">
                  <c:v>1200</c:v>
                </c:pt>
                <c:pt idx="8">
                  <c:v>1800</c:v>
                </c:pt>
                <c:pt idx="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8-4885-886E-41BB6DE3DA9A}"/>
            </c:ext>
          </c:extLst>
        </c:ser>
        <c:ser>
          <c:idx val="1"/>
          <c:order val="1"/>
          <c:tx>
            <c:strRef>
              <c:f>'for slides'!$C$16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58-4885-886E-41BB6DE3DA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58-4885-886E-41BB6DE3DA9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58-4885-886E-41BB6DE3DA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8-4885-886E-41BB6DE3DA9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58-4885-886E-41BB6DE3DA9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58-4885-886E-41BB6DE3D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 slides'!$D$4:$M$4</c:f>
              <c:strCache>
                <c:ptCount val="10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  <c:pt idx="9">
                  <c:v>not sensitive</c:v>
                </c:pt>
              </c:strCache>
            </c:strRef>
          </c:cat>
          <c:val>
            <c:numRef>
              <c:f>'for slides'!$D$16:$M$16</c:f>
              <c:numCache>
                <c:formatCode>_-* #,##0.0_-;\-* #,##0.0_-;_-* "-"??_-;_-@_-</c:formatCode>
                <c:ptCount val="10"/>
                <c:pt idx="0">
                  <c:v>0</c:v>
                </c:pt>
                <c:pt idx="1">
                  <c:v>-15000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-5000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8-4885-886E-41BB6DE3DA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43042320"/>
        <c:axId val="543043152"/>
      </c:barChart>
      <c:catAx>
        <c:axId val="54304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3043152"/>
        <c:crosses val="autoZero"/>
        <c:auto val="1"/>
        <c:lblAlgn val="ctr"/>
        <c:lblOffset val="100"/>
        <c:noMultiLvlLbl val="0"/>
      </c:catAx>
      <c:valAx>
        <c:axId val="5430431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crossAx val="54304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Define</a:t>
            </a:r>
            <a:r>
              <a:rPr lang="en-GB" baseline="0"/>
              <a:t> the scenario of interest rate changes</a:t>
            </a:r>
            <a:endParaRPr lang="en-GB"/>
          </a:p>
        </c:rich>
      </c:tx>
      <c:layout>
        <c:manualLayout>
          <c:xMode val="edge"/>
          <c:yMode val="edge"/>
          <c:x val="0.4067152230971128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 slides'!$D$45</c:f>
              <c:strCache>
                <c:ptCount val="1"/>
                <c:pt idx="0">
                  <c:v>Current interest rates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 slides'!$C$46:$C$54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slides'!$D$46:$D$54</c:f>
              <c:numCache>
                <c:formatCode>0.00%</c:formatCode>
                <c:ptCount val="9"/>
                <c:pt idx="0">
                  <c:v>5.1999999999999998E-2</c:v>
                </c:pt>
                <c:pt idx="1">
                  <c:v>5.3499999999999999E-2</c:v>
                </c:pt>
                <c:pt idx="2">
                  <c:v>5.5E-2</c:v>
                </c:pt>
                <c:pt idx="3">
                  <c:v>5.5899999999999998E-2</c:v>
                </c:pt>
                <c:pt idx="4">
                  <c:v>5.6500000000000002E-2</c:v>
                </c:pt>
                <c:pt idx="5">
                  <c:v>5.8999999999999997E-2</c:v>
                </c:pt>
                <c:pt idx="6">
                  <c:v>6.1499999999999999E-2</c:v>
                </c:pt>
                <c:pt idx="7">
                  <c:v>6.4000000000000001E-2</c:v>
                </c:pt>
                <c:pt idx="8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2-4439-ABEC-BFBAFCD1273D}"/>
            </c:ext>
          </c:extLst>
        </c:ser>
        <c:ser>
          <c:idx val="1"/>
          <c:order val="1"/>
          <c:tx>
            <c:strRef>
              <c:f>'for slides'!$E$45</c:f>
              <c:strCache>
                <c:ptCount val="1"/>
                <c:pt idx="0">
                  <c:v>Projected interest rates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 slides'!$C$46:$C$54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slides'!$E$46:$E$54</c:f>
              <c:numCache>
                <c:formatCode>0.00%</c:formatCode>
                <c:ptCount val="9"/>
                <c:pt idx="0">
                  <c:v>6.0299999999999999E-2</c:v>
                </c:pt>
                <c:pt idx="1">
                  <c:v>6.1100000000000002E-2</c:v>
                </c:pt>
                <c:pt idx="2">
                  <c:v>6.1900000000000004E-2</c:v>
                </c:pt>
                <c:pt idx="3">
                  <c:v>6.2100000000000002E-2</c:v>
                </c:pt>
                <c:pt idx="4">
                  <c:v>6.2E-2</c:v>
                </c:pt>
                <c:pt idx="5">
                  <c:v>6.3800000000000009E-2</c:v>
                </c:pt>
                <c:pt idx="6">
                  <c:v>6.5600000000000006E-2</c:v>
                </c:pt>
                <c:pt idx="7">
                  <c:v>6.7400000000000015E-2</c:v>
                </c:pt>
                <c:pt idx="8">
                  <c:v>7.1700000000000014E-2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2-4439-ABEC-BFBAFCD1273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719792"/>
        <c:axId val="82720208"/>
      </c:lineChart>
      <c:catAx>
        <c:axId val="827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2720208"/>
        <c:crosses val="autoZero"/>
        <c:auto val="1"/>
        <c:lblAlgn val="ctr"/>
        <c:lblOffset val="100"/>
        <c:noMultiLvlLbl val="0"/>
      </c:catAx>
      <c:valAx>
        <c:axId val="82720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827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 slides'!$D$58</c:f>
              <c:strCache>
                <c:ptCount val="1"/>
                <c:pt idx="0">
                  <c:v>Assets avg. Int.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'for slides'!$C$59:$C$68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'for slides'!$D$59:$D$68</c:f>
              <c:numCache>
                <c:formatCode>0.0%</c:formatCode>
                <c:ptCount val="10"/>
                <c:pt idx="0">
                  <c:v>0.06</c:v>
                </c:pt>
                <c:pt idx="1">
                  <c:v>0.06</c:v>
                </c:pt>
                <c:pt idx="2">
                  <c:v>6.3E-2</c:v>
                </c:pt>
                <c:pt idx="3">
                  <c:v>6.6000000000000003E-2</c:v>
                </c:pt>
                <c:pt idx="4">
                  <c:v>6.9000000000000006E-2</c:v>
                </c:pt>
                <c:pt idx="5">
                  <c:v>7.2000000000000008E-2</c:v>
                </c:pt>
                <c:pt idx="6">
                  <c:v>7.5000000000000011E-2</c:v>
                </c:pt>
                <c:pt idx="7">
                  <c:v>7.8000000000000014E-2</c:v>
                </c:pt>
                <c:pt idx="8">
                  <c:v>8.1000000000000016E-2</c:v>
                </c:pt>
                <c:pt idx="9">
                  <c:v>8.4000000000000019E-2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9-4F21-96D3-7DAA0E94BCA5}"/>
            </c:ext>
          </c:extLst>
        </c:ser>
        <c:ser>
          <c:idx val="1"/>
          <c:order val="1"/>
          <c:tx>
            <c:strRef>
              <c:f>'for slides'!$E$58</c:f>
              <c:strCache>
                <c:ptCount val="1"/>
                <c:pt idx="0">
                  <c:v>Liabilities avg. Int.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'for slides'!$C$59:$C$68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'for slides'!$E$59:$E$68</c:f>
              <c:numCache>
                <c:formatCode>0.0%</c:formatCode>
                <c:ptCount val="10"/>
                <c:pt idx="0">
                  <c:v>0.03</c:v>
                </c:pt>
                <c:pt idx="1">
                  <c:v>0.03</c:v>
                </c:pt>
                <c:pt idx="2">
                  <c:v>4.1999999999999996E-2</c:v>
                </c:pt>
                <c:pt idx="3">
                  <c:v>5.3999999999999992E-2</c:v>
                </c:pt>
                <c:pt idx="4">
                  <c:v>6.5999999999999989E-2</c:v>
                </c:pt>
                <c:pt idx="5">
                  <c:v>7.7999999999999986E-2</c:v>
                </c:pt>
                <c:pt idx="6">
                  <c:v>7.7999999999999986E-2</c:v>
                </c:pt>
                <c:pt idx="7">
                  <c:v>7.7999999999999986E-2</c:v>
                </c:pt>
                <c:pt idx="8">
                  <c:v>7.7999999999999986E-2</c:v>
                </c:pt>
                <c:pt idx="9">
                  <c:v>7.7999999999999986E-2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9-4F21-96D3-7DAA0E94B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309887"/>
        <c:axId val="785303647"/>
      </c:lineChart>
      <c:catAx>
        <c:axId val="78530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85303647"/>
        <c:crosses val="autoZero"/>
        <c:auto val="1"/>
        <c:lblAlgn val="ctr"/>
        <c:lblOffset val="100"/>
        <c:noMultiLvlLbl val="0"/>
      </c:catAx>
      <c:valAx>
        <c:axId val="78530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8530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 slides'!$D$105</c:f>
              <c:strCache>
                <c:ptCount val="1"/>
                <c:pt idx="0">
                  <c:v>FTP rates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3-4237-9189-9B725B437F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3-4237-9189-9B725B437F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3-4237-9189-9B725B437F4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3-4237-9189-9B725B437F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3-4237-9189-9B725B437F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3-4237-9189-9B725B437F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3-4237-9189-9B725B437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 slides'!$C$106:$C$114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slides'!$D$106:$D$114</c:f>
              <c:numCache>
                <c:formatCode>0.0%</c:formatCode>
                <c:ptCount val="9"/>
                <c:pt idx="0">
                  <c:v>5.1999999999999998E-2</c:v>
                </c:pt>
                <c:pt idx="1">
                  <c:v>5.5E-2</c:v>
                </c:pt>
                <c:pt idx="2">
                  <c:v>5.8999999999999997E-2</c:v>
                </c:pt>
                <c:pt idx="3">
                  <c:v>6.3E-2</c:v>
                </c:pt>
                <c:pt idx="4">
                  <c:v>6.9000000000000006E-2</c:v>
                </c:pt>
                <c:pt idx="5">
                  <c:v>7.5999999999999998E-2</c:v>
                </c:pt>
                <c:pt idx="6">
                  <c:v>8.5000000000000006E-2</c:v>
                </c:pt>
                <c:pt idx="7">
                  <c:v>9.0999999999999998E-2</c:v>
                </c:pt>
                <c:pt idx="8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3-4237-9189-9B725B437F4F}"/>
            </c:ext>
          </c:extLst>
        </c:ser>
        <c:ser>
          <c:idx val="1"/>
          <c:order val="1"/>
          <c:tx>
            <c:strRef>
              <c:f>'for slides'!$E$105</c:f>
              <c:strCache>
                <c:ptCount val="1"/>
                <c:pt idx="0">
                  <c:v>Deposit contract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 slides'!$C$106:$C$114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slides'!$E$106:$E$114</c:f>
              <c:numCache>
                <c:formatCode>General</c:formatCode>
                <c:ptCount val="9"/>
                <c:pt idx="0" formatCode="0%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3-4237-9189-9B725B437F4F}"/>
            </c:ext>
          </c:extLst>
        </c:ser>
        <c:ser>
          <c:idx val="2"/>
          <c:order val="2"/>
          <c:tx>
            <c:strRef>
              <c:f>'for slides'!$F$105</c:f>
              <c:strCache>
                <c:ptCount val="1"/>
                <c:pt idx="0">
                  <c:v>Loan contract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 slides'!$C$106:$C$114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slides'!$F$106:$F$114</c:f>
              <c:numCache>
                <c:formatCode>General</c:formatCode>
                <c:ptCount val="9"/>
                <c:pt idx="4" formatCode="0%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A3-4237-9189-9B725B437F4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9685759"/>
        <c:axId val="1249686175"/>
      </c:lineChart>
      <c:catAx>
        <c:axId val="124968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49686175"/>
        <c:crosses val="autoZero"/>
        <c:auto val="1"/>
        <c:lblAlgn val="ctr"/>
        <c:lblOffset val="100"/>
        <c:noMultiLvlLbl val="0"/>
      </c:catAx>
      <c:valAx>
        <c:axId val="1249686175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24968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 slides'!$C$128</c:f>
              <c:strCache>
                <c:ptCount val="1"/>
                <c:pt idx="0">
                  <c:v>Loans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'for slides'!$B$129:$B$139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'for slides'!$C$129:$C$139</c:f>
              <c:numCache>
                <c:formatCode>_-* #,##0.0_-;\-* #,##0.0_-;_-* "-"??_-;_-@_-</c:formatCode>
                <c:ptCount val="11"/>
                <c:pt idx="0">
                  <c:v>7</c:v>
                </c:pt>
                <c:pt idx="1">
                  <c:v>7.1</c:v>
                </c:pt>
                <c:pt idx="2">
                  <c:v>7.1999999999999993</c:v>
                </c:pt>
                <c:pt idx="3">
                  <c:v>7.2999999999999989</c:v>
                </c:pt>
                <c:pt idx="4">
                  <c:v>7.3999999999999986</c:v>
                </c:pt>
                <c:pt idx="5">
                  <c:v>7.4999999999999982</c:v>
                </c:pt>
                <c:pt idx="6">
                  <c:v>7.5999999999999979</c:v>
                </c:pt>
                <c:pt idx="7">
                  <c:v>7.6999999999999975</c:v>
                </c:pt>
                <c:pt idx="8">
                  <c:v>7.7999999999999972</c:v>
                </c:pt>
                <c:pt idx="9">
                  <c:v>7.8999999999999968</c:v>
                </c:pt>
                <c:pt idx="10">
                  <c:v>7.9999999999999964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3-464C-8809-DC7DADB577DC}"/>
            </c:ext>
          </c:extLst>
        </c:ser>
        <c:ser>
          <c:idx val="1"/>
          <c:order val="1"/>
          <c:tx>
            <c:strRef>
              <c:f>'for slides'!$D$128</c:f>
              <c:strCache>
                <c:ptCount val="1"/>
                <c:pt idx="0">
                  <c:v>Deposits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'for slides'!$B$129:$B$139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'for slides'!$D$129:$D$139</c:f>
              <c:numCache>
                <c:formatCode>_-* #,##0.0_-;\-* #,##0.0_-;_-* "-"??_-;_-@_-</c:formatCode>
                <c:ptCount val="11"/>
                <c:pt idx="0">
                  <c:v>4</c:v>
                </c:pt>
                <c:pt idx="1">
                  <c:v>4.2</c:v>
                </c:pt>
                <c:pt idx="2">
                  <c:v>4.4000000000000004</c:v>
                </c:pt>
                <c:pt idx="3">
                  <c:v>4.6000000000000005</c:v>
                </c:pt>
                <c:pt idx="4">
                  <c:v>4.8000000000000007</c:v>
                </c:pt>
                <c:pt idx="5">
                  <c:v>5.0000000000000009</c:v>
                </c:pt>
                <c:pt idx="6">
                  <c:v>5.2000000000000011</c:v>
                </c:pt>
                <c:pt idx="7">
                  <c:v>5.4000000000000012</c:v>
                </c:pt>
                <c:pt idx="8">
                  <c:v>5.6000000000000014</c:v>
                </c:pt>
                <c:pt idx="9">
                  <c:v>5.8000000000000016</c:v>
                </c:pt>
                <c:pt idx="10">
                  <c:v>6.0000000000000018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3-464C-8809-DC7DADB577DC}"/>
            </c:ext>
          </c:extLst>
        </c:ser>
        <c:ser>
          <c:idx val="2"/>
          <c:order val="2"/>
          <c:tx>
            <c:strRef>
              <c:f>'for slides'!$E$128</c:f>
              <c:strCache>
                <c:ptCount val="1"/>
                <c:pt idx="0">
                  <c:v>FTP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'for slides'!$B$129:$B$139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'for slides'!$E$129:$E$139</c:f>
              <c:numCache>
                <c:formatCode>_-* #,##0.0_-;\-* #,##0.0_-;_-* "-"??_-;_-@_-</c:formatCode>
                <c:ptCount val="11"/>
                <c:pt idx="0">
                  <c:v>5.5</c:v>
                </c:pt>
                <c:pt idx="1">
                  <c:v>5.65</c:v>
                </c:pt>
                <c:pt idx="2">
                  <c:v>5.8</c:v>
                </c:pt>
                <c:pt idx="3">
                  <c:v>5.9499999999999993</c:v>
                </c:pt>
                <c:pt idx="4">
                  <c:v>6.1</c:v>
                </c:pt>
                <c:pt idx="5">
                  <c:v>6.25</c:v>
                </c:pt>
                <c:pt idx="6">
                  <c:v>6.3999999999999995</c:v>
                </c:pt>
                <c:pt idx="7">
                  <c:v>6.5499999999999989</c:v>
                </c:pt>
                <c:pt idx="8">
                  <c:v>6.6999999999999993</c:v>
                </c:pt>
                <c:pt idx="9">
                  <c:v>6.85</c:v>
                </c:pt>
                <c:pt idx="10">
                  <c:v>6.9999999999999991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3-464C-8809-DC7DADB577DC}"/>
            </c:ext>
          </c:extLst>
        </c:ser>
        <c:ser>
          <c:idx val="3"/>
          <c:order val="3"/>
          <c:tx>
            <c:strRef>
              <c:f>'for slides'!$F$128</c:f>
              <c:strCache>
                <c:ptCount val="1"/>
                <c:pt idx="0">
                  <c:v>Deposits on market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'for slides'!$B$129:$B$139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'for slides'!$F$129:$F$139</c:f>
              <c:numCache>
                <c:formatCode>_-* #,##0.0_-;\-* #,##0.0_-;_-* "-"??_-;_-@_-</c:formatCode>
                <c:ptCount val="11"/>
                <c:pt idx="0">
                  <c:v>3.59</c:v>
                </c:pt>
                <c:pt idx="1">
                  <c:v>3.9000000000000004</c:v>
                </c:pt>
                <c:pt idx="2">
                  <c:v>3.95</c:v>
                </c:pt>
                <c:pt idx="3">
                  <c:v>4.2300000000000004</c:v>
                </c:pt>
                <c:pt idx="4">
                  <c:v>4.4200000000000008</c:v>
                </c:pt>
                <c:pt idx="5">
                  <c:v>4.5400000000000009</c:v>
                </c:pt>
                <c:pt idx="6">
                  <c:v>4.7200000000000006</c:v>
                </c:pt>
                <c:pt idx="7">
                  <c:v>5.0300000000000011</c:v>
                </c:pt>
                <c:pt idx="8">
                  <c:v>5.160000000000001</c:v>
                </c:pt>
                <c:pt idx="9">
                  <c:v>5.450000000000002</c:v>
                </c:pt>
                <c:pt idx="1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3-464C-8809-DC7DADB57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188543"/>
        <c:axId val="1456196863"/>
      </c:lineChart>
      <c:catAx>
        <c:axId val="145618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56196863"/>
        <c:crosses val="autoZero"/>
        <c:auto val="1"/>
        <c:lblAlgn val="ctr"/>
        <c:lblOffset val="100"/>
        <c:noMultiLvlLbl val="0"/>
      </c:catAx>
      <c:valAx>
        <c:axId val="1456196863"/>
        <c:scaling>
          <c:orientation val="minMax"/>
          <c:max val="13.5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5618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 slides'!$C$147</c:f>
              <c:strCache>
                <c:ptCount val="1"/>
                <c:pt idx="0">
                  <c:v>Market rates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cat>
            <c:strRef>
              <c:f>'for slides'!$B$148:$B$156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slides'!$C$148:$C$156</c:f>
              <c:numCache>
                <c:formatCode>0.0%</c:formatCode>
                <c:ptCount val="9"/>
                <c:pt idx="0">
                  <c:v>5.1999999999999998E-2</c:v>
                </c:pt>
                <c:pt idx="1">
                  <c:v>5.5E-2</c:v>
                </c:pt>
                <c:pt idx="2">
                  <c:v>5.8999999999999997E-2</c:v>
                </c:pt>
                <c:pt idx="3">
                  <c:v>6.3E-2</c:v>
                </c:pt>
                <c:pt idx="4">
                  <c:v>6.9000000000000006E-2</c:v>
                </c:pt>
                <c:pt idx="5">
                  <c:v>7.5999999999999998E-2</c:v>
                </c:pt>
                <c:pt idx="6">
                  <c:v>8.5000000000000006E-2</c:v>
                </c:pt>
                <c:pt idx="7">
                  <c:v>8.8999999999999996E-2</c:v>
                </c:pt>
                <c:pt idx="8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9-4407-ABC7-2291B28AF946}"/>
            </c:ext>
          </c:extLst>
        </c:ser>
        <c:ser>
          <c:idx val="1"/>
          <c:order val="1"/>
          <c:tx>
            <c:strRef>
              <c:f>'for slides'!$D$147</c:f>
              <c:strCache>
                <c:ptCount val="1"/>
                <c:pt idx="0">
                  <c:v>FTP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'for slides'!$B$148:$B$156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slides'!$D$148:$D$156</c:f>
              <c:numCache>
                <c:formatCode>0%</c:formatCode>
                <c:ptCount val="9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9-4407-ABC7-2291B28AF946}"/>
            </c:ext>
          </c:extLst>
        </c:ser>
        <c:ser>
          <c:idx val="2"/>
          <c:order val="2"/>
          <c:tx>
            <c:strRef>
              <c:f>'for slides'!$E$147</c:f>
              <c:strCache>
                <c:ptCount val="1"/>
                <c:pt idx="0">
                  <c:v>Loans proposal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'for slides'!$B$148:$B$156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slides'!$E$148:$E$156</c:f>
              <c:numCache>
                <c:formatCode>General</c:formatCode>
                <c:ptCount val="9"/>
                <c:pt idx="0" formatCode="0%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9-4407-ABC7-2291B28AF946}"/>
            </c:ext>
          </c:extLst>
        </c:ser>
        <c:ser>
          <c:idx val="3"/>
          <c:order val="3"/>
          <c:tx>
            <c:strRef>
              <c:f>'for slides'!$F$147</c:f>
              <c:strCache>
                <c:ptCount val="1"/>
                <c:pt idx="0">
                  <c:v>Deposits proposal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'for slides'!$B$148:$B$156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slides'!$F$148:$F$156</c:f>
              <c:numCache>
                <c:formatCode>General</c:formatCode>
                <c:ptCount val="9"/>
                <c:pt idx="0" formatCode="0%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09-4407-ABC7-2291B28A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601407"/>
        <c:axId val="1187595167"/>
      </c:lineChart>
      <c:catAx>
        <c:axId val="118760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187595167"/>
        <c:crosses val="autoZero"/>
        <c:auto val="1"/>
        <c:lblAlgn val="ctr"/>
        <c:lblOffset val="100"/>
        <c:noMultiLvlLbl val="0"/>
      </c:catAx>
      <c:valAx>
        <c:axId val="1187595167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18760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 slides'!$C$172:$C$173</c:f>
              <c:strCache>
                <c:ptCount val="2"/>
                <c:pt idx="0">
                  <c:v>Principal repayment</c:v>
                </c:pt>
                <c:pt idx="1">
                  <c:v>Loan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 slides'!$B$174:$B$181</c:f>
              <c:strCache>
                <c:ptCount val="8"/>
                <c:pt idx="0">
                  <c:v>1-3 m</c:v>
                </c:pt>
                <c:pt idx="1">
                  <c:v>3-6 m</c:v>
                </c:pt>
                <c:pt idx="2">
                  <c:v>6-9 m</c:v>
                </c:pt>
                <c:pt idx="3">
                  <c:v>9-12 m</c:v>
                </c:pt>
                <c:pt idx="4">
                  <c:v>1-3 y</c:v>
                </c:pt>
                <c:pt idx="5">
                  <c:v>3-5 y</c:v>
                </c:pt>
                <c:pt idx="6">
                  <c:v>5-7 y</c:v>
                </c:pt>
                <c:pt idx="7">
                  <c:v>7-10 y</c:v>
                </c:pt>
              </c:strCache>
            </c:strRef>
          </c:cat>
          <c:val>
            <c:numRef>
              <c:f>'for slides'!$C$174:$C$181</c:f>
              <c:numCache>
                <c:formatCode>_-* #,##0_-;\-* #,##0_-;_-* "-"??_-;_-@_-</c:formatCode>
                <c:ptCount val="8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E-4805-8AF4-BF3DC7EF9137}"/>
            </c:ext>
          </c:extLst>
        </c:ser>
        <c:ser>
          <c:idx val="1"/>
          <c:order val="1"/>
          <c:tx>
            <c:strRef>
              <c:f>'for slides'!$D$172:$D$173</c:f>
              <c:strCache>
                <c:ptCount val="2"/>
                <c:pt idx="0">
                  <c:v>Principal repayment</c:v>
                </c:pt>
                <c:pt idx="1">
                  <c:v>Loan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 slides'!$B$174:$B$181</c:f>
              <c:strCache>
                <c:ptCount val="8"/>
                <c:pt idx="0">
                  <c:v>1-3 m</c:v>
                </c:pt>
                <c:pt idx="1">
                  <c:v>3-6 m</c:v>
                </c:pt>
                <c:pt idx="2">
                  <c:v>6-9 m</c:v>
                </c:pt>
                <c:pt idx="3">
                  <c:v>9-12 m</c:v>
                </c:pt>
                <c:pt idx="4">
                  <c:v>1-3 y</c:v>
                </c:pt>
                <c:pt idx="5">
                  <c:v>3-5 y</c:v>
                </c:pt>
                <c:pt idx="6">
                  <c:v>5-7 y</c:v>
                </c:pt>
                <c:pt idx="7">
                  <c:v>7-10 y</c:v>
                </c:pt>
              </c:strCache>
            </c:strRef>
          </c:cat>
          <c:val>
            <c:numRef>
              <c:f>'for slides'!$D$174:$D$181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6500</c:v>
                </c:pt>
                <c:pt idx="6">
                  <c:v>0</c:v>
                </c:pt>
                <c:pt idx="7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E-4805-8AF4-BF3DC7EF91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7741407"/>
        <c:axId val="867730175"/>
      </c:barChart>
      <c:catAx>
        <c:axId val="86774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67730175"/>
        <c:crosses val="autoZero"/>
        <c:auto val="1"/>
        <c:lblAlgn val="ctr"/>
        <c:lblOffset val="100"/>
        <c:noMultiLvlLbl val="0"/>
      </c:catAx>
      <c:valAx>
        <c:axId val="867730175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86774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 slides'!$C$195</c:f>
              <c:strCache>
                <c:ptCount val="1"/>
                <c:pt idx="0">
                  <c:v>FTP based on factual cost of funding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'for slides'!$B$196:$B$204</c:f>
              <c:strCache>
                <c:ptCount val="9"/>
                <c:pt idx="0">
                  <c:v>O/N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slides'!$C$196:$C$204</c:f>
              <c:numCache>
                <c:formatCode>0.0%</c:formatCode>
                <c:ptCount val="9"/>
                <c:pt idx="0">
                  <c:v>5.1999999999999998E-2</c:v>
                </c:pt>
                <c:pt idx="1">
                  <c:v>5.5E-2</c:v>
                </c:pt>
                <c:pt idx="2">
                  <c:v>5.8999999999999997E-2</c:v>
                </c:pt>
                <c:pt idx="3">
                  <c:v>6.3E-2</c:v>
                </c:pt>
                <c:pt idx="4">
                  <c:v>6.9000000000000006E-2</c:v>
                </c:pt>
                <c:pt idx="5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B-4017-BA61-80EA58191FB3}"/>
            </c:ext>
          </c:extLst>
        </c:ser>
        <c:ser>
          <c:idx val="1"/>
          <c:order val="1"/>
          <c:tx>
            <c:strRef>
              <c:f>'for slides'!$D$195</c:f>
              <c:strCache>
                <c:ptCount val="1"/>
                <c:pt idx="0">
                  <c:v>Interest rate swaps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'for slides'!$B$196:$B$204</c:f>
              <c:strCache>
                <c:ptCount val="9"/>
                <c:pt idx="0">
                  <c:v>O/N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slides'!$D$196:$D$204</c:f>
              <c:numCache>
                <c:formatCode>0.0%</c:formatCode>
                <c:ptCount val="9"/>
                <c:pt idx="0">
                  <c:v>4.2000000000000003E-2</c:v>
                </c:pt>
                <c:pt idx="1">
                  <c:v>4.4999999999999998E-2</c:v>
                </c:pt>
                <c:pt idx="2">
                  <c:v>4.8999999999999995E-2</c:v>
                </c:pt>
                <c:pt idx="3">
                  <c:v>5.2999999999999999E-2</c:v>
                </c:pt>
                <c:pt idx="4">
                  <c:v>5.9000000000000004E-2</c:v>
                </c:pt>
                <c:pt idx="5">
                  <c:v>6.6000000000000003E-2</c:v>
                </c:pt>
                <c:pt idx="6">
                  <c:v>7.5000000000000011E-2</c:v>
                </c:pt>
                <c:pt idx="7">
                  <c:v>7.9000000000000001E-2</c:v>
                </c:pt>
                <c:pt idx="8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B-4017-BA61-80EA58191FB3}"/>
            </c:ext>
          </c:extLst>
        </c:ser>
        <c:ser>
          <c:idx val="2"/>
          <c:order val="2"/>
          <c:tx>
            <c:strRef>
              <c:f>'for slides'!$E$195</c:f>
              <c:strCache>
                <c:ptCount val="1"/>
                <c:pt idx="0">
                  <c:v>FTP extrapolated based on IRS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'for slides'!$B$196:$B$204</c:f>
              <c:strCache>
                <c:ptCount val="9"/>
                <c:pt idx="0">
                  <c:v>O/N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slides'!$E$196:$E$204</c:f>
              <c:numCache>
                <c:formatCode>General</c:formatCode>
                <c:ptCount val="9"/>
                <c:pt idx="5" formatCode="0.0%">
                  <c:v>7.5999999999999998E-2</c:v>
                </c:pt>
                <c:pt idx="6" formatCode="0.0%">
                  <c:v>8.5000000000000006E-2</c:v>
                </c:pt>
                <c:pt idx="7" formatCode="0.0%">
                  <c:v>8.8999999999999996E-2</c:v>
                </c:pt>
                <c:pt idx="8" formatCode="0.0%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B-4017-BA61-80EA58191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37679"/>
        <c:axId val="739728943"/>
      </c:lineChart>
      <c:catAx>
        <c:axId val="73973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39728943"/>
        <c:crosses val="autoZero"/>
        <c:auto val="1"/>
        <c:lblAlgn val="ctr"/>
        <c:lblOffset val="100"/>
        <c:noMultiLvlLbl val="0"/>
      </c:catAx>
      <c:valAx>
        <c:axId val="73972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3973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 slides'!$C$211</c:f>
              <c:strCache>
                <c:ptCount val="1"/>
                <c:pt idx="0">
                  <c:v>FTP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'for slides'!$B$212:$B$220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slides'!$C$212:$C$220</c:f>
              <c:numCache>
                <c:formatCode>0.0%</c:formatCode>
                <c:ptCount val="9"/>
                <c:pt idx="0">
                  <c:v>4.2000000000000003E-2</c:v>
                </c:pt>
                <c:pt idx="1">
                  <c:v>4.4999999999999998E-2</c:v>
                </c:pt>
                <c:pt idx="2">
                  <c:v>4.8999999999999995E-2</c:v>
                </c:pt>
                <c:pt idx="3">
                  <c:v>5.2999999999999999E-2</c:v>
                </c:pt>
                <c:pt idx="4">
                  <c:v>5.5E-2</c:v>
                </c:pt>
                <c:pt idx="5">
                  <c:v>6.0999999999999999E-2</c:v>
                </c:pt>
                <c:pt idx="6">
                  <c:v>6.5000000000000002E-2</c:v>
                </c:pt>
                <c:pt idx="7">
                  <c:v>6.9000000000000006E-2</c:v>
                </c:pt>
                <c:pt idx="8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F-448C-8185-FD8D23826B20}"/>
            </c:ext>
          </c:extLst>
        </c:ser>
        <c:ser>
          <c:idx val="1"/>
          <c:order val="1"/>
          <c:tx>
            <c:strRef>
              <c:f>'for slides'!$D$211</c:f>
              <c:strCache>
                <c:ptCount val="1"/>
                <c:pt idx="0">
                  <c:v>FTP adj on liquidity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'for slides'!$B$212:$B$220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slides'!$D$212:$D$220</c:f>
              <c:numCache>
                <c:formatCode>0.0%</c:formatCode>
                <c:ptCount val="9"/>
                <c:pt idx="0">
                  <c:v>3.5000000000000003E-2</c:v>
                </c:pt>
                <c:pt idx="1">
                  <c:v>3.9E-2</c:v>
                </c:pt>
                <c:pt idx="2">
                  <c:v>4.3999999999999997E-2</c:v>
                </c:pt>
                <c:pt idx="3">
                  <c:v>4.9000000000000002E-2</c:v>
                </c:pt>
                <c:pt idx="4">
                  <c:v>5.1999999999999998E-2</c:v>
                </c:pt>
                <c:pt idx="5">
                  <c:v>5.7999999999999996E-2</c:v>
                </c:pt>
                <c:pt idx="6">
                  <c:v>6.7000000000000004E-2</c:v>
                </c:pt>
                <c:pt idx="7">
                  <c:v>7.3000000000000009E-2</c:v>
                </c:pt>
                <c:pt idx="8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F-448C-8185-FD8D2382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744463"/>
        <c:axId val="864763183"/>
      </c:lineChart>
      <c:catAx>
        <c:axId val="86474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64763183"/>
        <c:crosses val="autoZero"/>
        <c:auto val="1"/>
        <c:lblAlgn val="ctr"/>
        <c:lblOffset val="100"/>
        <c:noMultiLvlLbl val="0"/>
      </c:catAx>
      <c:valAx>
        <c:axId val="864763183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6474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 slides'!$C$224</c:f>
              <c:strCache>
                <c:ptCount val="1"/>
                <c:pt idx="0">
                  <c:v>Liquidity gap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'for slides'!$B$225:$B$233</c:f>
              <c:strCache>
                <c:ptCount val="9"/>
                <c:pt idx="0">
                  <c:v>up to 1m</c:v>
                </c:pt>
                <c:pt idx="1">
                  <c:v>1-3 m</c:v>
                </c:pt>
                <c:pt idx="2">
                  <c:v>3-6 m</c:v>
                </c:pt>
                <c:pt idx="3">
                  <c:v>6-9 m</c:v>
                </c:pt>
                <c:pt idx="4">
                  <c:v>9-12 m</c:v>
                </c:pt>
                <c:pt idx="5">
                  <c:v>1-3 y</c:v>
                </c:pt>
                <c:pt idx="6">
                  <c:v>3-5 y</c:v>
                </c:pt>
                <c:pt idx="7">
                  <c:v>5-7 y</c:v>
                </c:pt>
                <c:pt idx="8">
                  <c:v>7-10 y</c:v>
                </c:pt>
              </c:strCache>
            </c:strRef>
          </c:cat>
          <c:val>
            <c:numRef>
              <c:f>'for slides'!$C$225:$C$233</c:f>
              <c:numCache>
                <c:formatCode>_-* #,##0.0_-;\-* #,##0.0_-;_-* "-"??_-;_-@_-</c:formatCode>
                <c:ptCount val="9"/>
                <c:pt idx="0">
                  <c:v>-100</c:v>
                </c:pt>
                <c:pt idx="1">
                  <c:v>-300</c:v>
                </c:pt>
                <c:pt idx="2">
                  <c:v>-400</c:v>
                </c:pt>
                <c:pt idx="3">
                  <c:v>-200</c:v>
                </c:pt>
                <c:pt idx="4">
                  <c:v>-250</c:v>
                </c:pt>
                <c:pt idx="5">
                  <c:v>-150</c:v>
                </c:pt>
                <c:pt idx="6">
                  <c:v>350</c:v>
                </c:pt>
                <c:pt idx="7">
                  <c:v>450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5-45A0-9255-DD9872569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192287"/>
        <c:axId val="1456191871"/>
      </c:barChart>
      <c:catAx>
        <c:axId val="145619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56191871"/>
        <c:crosses val="autoZero"/>
        <c:auto val="1"/>
        <c:lblAlgn val="ctr"/>
        <c:lblOffset val="100"/>
        <c:noMultiLvlLbl val="0"/>
      </c:catAx>
      <c:valAx>
        <c:axId val="145619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5619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83</xdr:row>
      <xdr:rowOff>80433</xdr:rowOff>
    </xdr:from>
    <xdr:to>
      <xdr:col>10</xdr:col>
      <xdr:colOff>8467</xdr:colOff>
      <xdr:row>106</xdr:row>
      <xdr:rowOff>110067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493072-E3AB-916C-A2CF-D9487384C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140018</xdr:colOff>
      <xdr:row>147</xdr:row>
      <xdr:rowOff>61915</xdr:rowOff>
    </xdr:from>
    <xdr:to>
      <xdr:col>37</xdr:col>
      <xdr:colOff>254318</xdr:colOff>
      <xdr:row>170</xdr:row>
      <xdr:rowOff>38138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B08014-13A9-4F85-B822-0236B82C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47693" y="21369340"/>
          <a:ext cx="4991100" cy="351952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29</xdr:col>
      <xdr:colOff>184524</xdr:colOff>
      <xdr:row>174</xdr:row>
      <xdr:rowOff>6925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C6DE0E-BF36-4B92-BB52-13607459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21275" y="21307425"/>
          <a:ext cx="5670924" cy="4083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15492</xdr:colOff>
      <xdr:row>23</xdr:row>
      <xdr:rowOff>95249</xdr:rowOff>
    </xdr:from>
    <xdr:to>
      <xdr:col>33</xdr:col>
      <xdr:colOff>437183</xdr:colOff>
      <xdr:row>52</xdr:row>
      <xdr:rowOff>132648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45B1B6-0509-4EC1-8E51-617D6E43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60392" y="2762249"/>
          <a:ext cx="5908091" cy="4285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</xdr:row>
      <xdr:rowOff>68580</xdr:rowOff>
    </xdr:from>
    <xdr:to>
      <xdr:col>9</xdr:col>
      <xdr:colOff>99060</xdr:colOff>
      <xdr:row>38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A72080-4A4A-266D-A135-ECD5E1BFB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69</xdr:row>
      <xdr:rowOff>30480</xdr:rowOff>
    </xdr:from>
    <xdr:to>
      <xdr:col>10</xdr:col>
      <xdr:colOff>76200</xdr:colOff>
      <xdr:row>90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77DF82-B2FB-4D0B-8779-BCEA943C8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213361</xdr:colOff>
      <xdr:row>18</xdr:row>
      <xdr:rowOff>144780</xdr:rowOff>
    </xdr:from>
    <xdr:to>
      <xdr:col>21</xdr:col>
      <xdr:colOff>198967</xdr:colOff>
      <xdr:row>40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E7895-C2CC-4F97-8797-1EDFDB6BA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18</xdr:row>
      <xdr:rowOff>137160</xdr:rowOff>
    </xdr:from>
    <xdr:to>
      <xdr:col>11</xdr:col>
      <xdr:colOff>60960</xdr:colOff>
      <xdr:row>40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4ACF02-C0D9-4956-8284-1CE9DD6E2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571500</xdr:colOff>
      <xdr:row>43</xdr:row>
      <xdr:rowOff>45720</xdr:rowOff>
    </xdr:from>
    <xdr:to>
      <xdr:col>13</xdr:col>
      <xdr:colOff>83820</xdr:colOff>
      <xdr:row>53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1CFC757-5727-5D67-8831-9EC4CE6B6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57</xdr:row>
      <xdr:rowOff>11430</xdr:rowOff>
    </xdr:from>
    <xdr:to>
      <xdr:col>14</xdr:col>
      <xdr:colOff>358140</xdr:colOff>
      <xdr:row>78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50B40-7C97-475C-93CC-E7F2AD0C6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259080</xdr:colOff>
      <xdr:row>104</xdr:row>
      <xdr:rowOff>15240</xdr:rowOff>
    </xdr:from>
    <xdr:to>
      <xdr:col>15</xdr:col>
      <xdr:colOff>601980</xdr:colOff>
      <xdr:row>122</xdr:row>
      <xdr:rowOff>110490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A8818E-71FE-43C6-9D03-22D974473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228600</xdr:colOff>
      <xdr:row>118</xdr:row>
      <xdr:rowOff>72390</xdr:rowOff>
    </xdr:from>
    <xdr:to>
      <xdr:col>14</xdr:col>
      <xdr:colOff>533400</xdr:colOff>
      <xdr:row>141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49F503D-81C8-555B-F390-7EC8E6D1A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53340</xdr:colOff>
      <xdr:row>144</xdr:row>
      <xdr:rowOff>3810</xdr:rowOff>
    </xdr:from>
    <xdr:to>
      <xdr:col>15</xdr:col>
      <xdr:colOff>251460</xdr:colOff>
      <xdr:row>167</xdr:row>
      <xdr:rowOff>53340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B8C3C90-E4E7-5104-1963-E01B545F4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281940</xdr:colOff>
      <xdr:row>170</xdr:row>
      <xdr:rowOff>38100</xdr:rowOff>
    </xdr:from>
    <xdr:to>
      <xdr:col>14</xdr:col>
      <xdr:colOff>297180</xdr:colOff>
      <xdr:row>189</xdr:row>
      <xdr:rowOff>30480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14F2AFB-9BE5-1194-5793-3A81C8CBA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533400</xdr:colOff>
      <xdr:row>191</xdr:row>
      <xdr:rowOff>53340</xdr:rowOff>
    </xdr:from>
    <xdr:to>
      <xdr:col>13</xdr:col>
      <xdr:colOff>228600</xdr:colOff>
      <xdr:row>206</xdr:row>
      <xdr:rowOff>15240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8C5817E-D605-A8B6-72E4-90CB4A721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586740</xdr:colOff>
      <xdr:row>196</xdr:row>
      <xdr:rowOff>110490</xdr:rowOff>
    </xdr:from>
    <xdr:to>
      <xdr:col>15</xdr:col>
      <xdr:colOff>281940</xdr:colOff>
      <xdr:row>217</xdr:row>
      <xdr:rowOff>3810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159A224-8179-C8AB-CAE9-8339C6F65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586740</xdr:colOff>
      <xdr:row>218</xdr:row>
      <xdr:rowOff>125730</xdr:rowOff>
    </xdr:from>
    <xdr:to>
      <xdr:col>15</xdr:col>
      <xdr:colOff>281940</xdr:colOff>
      <xdr:row>236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F85494D-3A74-D6D6-345B-A29C0874A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3;&#1086;&#1074;&#1072;&#1103;%20&#1087;&#1072;&#1087;&#1082;&#1072;%20(2)/Teaching/3.%20Market%20risk%20of%20trading%20book/3.1%20Fin%20instruments%20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and PL general example"/>
      <sheetName val="FV and PL_forward"/>
      <sheetName val="PL after expiration_options"/>
      <sheetName val="FV_option"/>
      <sheetName val="FV_option_BS"/>
      <sheetName val="FV and PL int rate swap"/>
      <sheetName val="Interest accrual"/>
      <sheetName val="LIBOR USD"/>
      <sheetName val="FV_option_BlackSholes"/>
    </sheetNames>
    <sheetDataSet>
      <sheetData sheetId="0"/>
      <sheetData sheetId="1"/>
      <sheetData sheetId="2">
        <row r="12">
          <cell r="AH12" t="str">
            <v>PL at settlement combined option</v>
          </cell>
        </row>
      </sheetData>
      <sheetData sheetId="3"/>
      <sheetData sheetId="4">
        <row r="4">
          <cell r="B4">
            <v>2000</v>
          </cell>
        </row>
        <row r="6">
          <cell r="B6">
            <v>0.06</v>
          </cell>
        </row>
        <row r="7">
          <cell r="B7">
            <v>0.15</v>
          </cell>
        </row>
        <row r="8">
          <cell r="B8">
            <v>0.03</v>
          </cell>
        </row>
        <row r="9">
          <cell r="B9">
            <v>2</v>
          </cell>
        </row>
      </sheetData>
      <sheetData sheetId="5"/>
      <sheetData sheetId="6">
        <row r="7">
          <cell r="C7" t="str">
            <v>Simple</v>
          </cell>
        </row>
      </sheetData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EPANCHENKO, D. (Dmitrii)" id="{C9C0B1CF-127F-48F1-BD21-E673112FAB56}" userId="S::dmitrii.stepanchenko@ing.com::30c9d29d-ac41-46ff-b2be-c3f5dd1e26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38" dT="2022-12-21T13:40:48.40" personId="{C9C0B1CF-127F-48F1-BD21-E673112FAB56}" id="{090C7557-8FB2-45D8-9B71-CBE2BD8AAD81}">
    <text>zero coupon bond repaid after 2 years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s.org/bcbs/publ/d368.pdf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46"/>
  <sheetViews>
    <sheetView zoomScale="90" zoomScaleNormal="90" workbookViewId="0">
      <selection activeCell="H28" sqref="H28"/>
    </sheetView>
  </sheetViews>
  <sheetFormatPr defaultRowHeight="10.199999999999999" outlineLevelRow="1" x14ac:dyDescent="0.3"/>
  <cols>
    <col min="1" max="1" width="8.88671875" style="8"/>
    <col min="2" max="2" width="11.44140625" style="8" customWidth="1"/>
    <col min="3" max="3" width="26.109375" style="8" customWidth="1"/>
    <col min="4" max="4" width="14.77734375" style="8" customWidth="1"/>
    <col min="5" max="5" width="11.33203125" style="8" customWidth="1"/>
    <col min="6" max="6" width="15.77734375" style="8" customWidth="1"/>
    <col min="7" max="7" width="10.5546875" style="8" customWidth="1"/>
    <col min="8" max="10" width="14.88671875" style="8" customWidth="1"/>
    <col min="11" max="13" width="9.5546875" style="8" customWidth="1"/>
    <col min="14" max="14" width="31.5546875" style="162" customWidth="1"/>
    <col min="15" max="15" width="9.5546875" style="8" customWidth="1"/>
    <col min="16" max="16" width="9.5546875" style="83" customWidth="1"/>
    <col min="17" max="17" width="9.5546875" style="8" customWidth="1"/>
    <col min="18" max="18" width="9.5546875" style="83" customWidth="1"/>
    <col min="19" max="16384" width="8.88671875" style="8"/>
  </cols>
  <sheetData>
    <row r="2" spans="2:4" x14ac:dyDescent="0.3">
      <c r="B2" s="8" t="s">
        <v>13</v>
      </c>
      <c r="C2" s="24">
        <v>0.1179</v>
      </c>
    </row>
    <row r="3" spans="2:4" x14ac:dyDescent="0.3">
      <c r="B3" s="8" t="s">
        <v>17</v>
      </c>
      <c r="C3" s="18">
        <v>44197</v>
      </c>
    </row>
    <row r="5" spans="2:4" x14ac:dyDescent="0.3">
      <c r="B5" s="19">
        <v>1</v>
      </c>
      <c r="C5" s="19" t="s">
        <v>12</v>
      </c>
    </row>
    <row r="6" spans="2:4" x14ac:dyDescent="0.3">
      <c r="C6" s="20">
        <v>10000</v>
      </c>
      <c r="D6" s="8" t="s">
        <v>81</v>
      </c>
    </row>
    <row r="7" spans="2:4" x14ac:dyDescent="0.3">
      <c r="C7" s="20">
        <f>6</f>
        <v>6</v>
      </c>
      <c r="D7" s="8" t="s">
        <v>20</v>
      </c>
    </row>
    <row r="8" spans="2:4" x14ac:dyDescent="0.3">
      <c r="C8" s="8" t="s">
        <v>14</v>
      </c>
      <c r="D8" s="8" t="s">
        <v>15</v>
      </c>
    </row>
    <row r="9" spans="2:4" x14ac:dyDescent="0.3">
      <c r="C9" s="8">
        <v>3</v>
      </c>
      <c r="D9" s="8" t="s">
        <v>16</v>
      </c>
    </row>
    <row r="10" spans="2:4" x14ac:dyDescent="0.3">
      <c r="C10" s="18">
        <v>44166</v>
      </c>
      <c r="D10" s="8" t="s">
        <v>18</v>
      </c>
    </row>
    <row r="11" spans="2:4" x14ac:dyDescent="0.3">
      <c r="C11" s="18" t="s">
        <v>174</v>
      </c>
    </row>
    <row r="12" spans="2:4" x14ac:dyDescent="0.3">
      <c r="C12" s="18"/>
    </row>
    <row r="13" spans="2:4" x14ac:dyDescent="0.3">
      <c r="C13" s="18" t="s">
        <v>40</v>
      </c>
    </row>
    <row r="14" spans="2:4" x14ac:dyDescent="0.3">
      <c r="B14" s="19">
        <v>2</v>
      </c>
      <c r="C14" s="21" t="s">
        <v>19</v>
      </c>
    </row>
    <row r="15" spans="2:4" x14ac:dyDescent="0.3">
      <c r="C15" s="20">
        <v>10000</v>
      </c>
      <c r="D15" s="8" t="s">
        <v>81</v>
      </c>
    </row>
    <row r="16" spans="2:4" x14ac:dyDescent="0.3">
      <c r="C16" s="20">
        <v>5</v>
      </c>
      <c r="D16" s="8" t="s">
        <v>20</v>
      </c>
    </row>
    <row r="17" spans="2:4" x14ac:dyDescent="0.3">
      <c r="C17" s="17">
        <v>0.15</v>
      </c>
      <c r="D17" s="8" t="s">
        <v>15</v>
      </c>
    </row>
    <row r="18" spans="2:4" x14ac:dyDescent="0.3">
      <c r="C18" s="20">
        <v>12</v>
      </c>
      <c r="D18" s="8" t="s">
        <v>32</v>
      </c>
    </row>
    <row r="19" spans="2:4" x14ac:dyDescent="0.3">
      <c r="C19" s="22">
        <f>((C17/C18)*(1+C17/C18)^(C16*C18))/((1+C17/C18)^(C16*C18)-1)*C15</f>
        <v>237.89930086358748</v>
      </c>
    </row>
    <row r="20" spans="2:4" x14ac:dyDescent="0.3">
      <c r="C20" s="18"/>
    </row>
    <row r="21" spans="2:4" x14ac:dyDescent="0.3">
      <c r="B21" s="19">
        <v>3</v>
      </c>
      <c r="C21" s="19" t="s">
        <v>12</v>
      </c>
    </row>
    <row r="22" spans="2:4" x14ac:dyDescent="0.3">
      <c r="C22" s="20">
        <v>6000</v>
      </c>
      <c r="D22" s="8" t="s">
        <v>81</v>
      </c>
    </row>
    <row r="23" spans="2:4" x14ac:dyDescent="0.3">
      <c r="C23" s="20">
        <v>10</v>
      </c>
      <c r="D23" s="8" t="s">
        <v>20</v>
      </c>
    </row>
    <row r="24" spans="2:4" x14ac:dyDescent="0.3">
      <c r="C24" s="17">
        <v>0.14000000000000001</v>
      </c>
      <c r="D24" s="8" t="s">
        <v>15</v>
      </c>
    </row>
    <row r="25" spans="2:4" x14ac:dyDescent="0.3">
      <c r="C25" s="17" t="s">
        <v>41</v>
      </c>
    </row>
    <row r="26" spans="2:4" x14ac:dyDescent="0.3">
      <c r="C26" s="23"/>
    </row>
    <row r="27" spans="2:4" x14ac:dyDescent="0.3">
      <c r="B27" s="19">
        <v>4</v>
      </c>
      <c r="C27" s="21" t="s">
        <v>34</v>
      </c>
    </row>
    <row r="28" spans="2:4" x14ac:dyDescent="0.3">
      <c r="C28" s="20">
        <v>10000</v>
      </c>
      <c r="D28" s="8" t="s">
        <v>81</v>
      </c>
    </row>
    <row r="29" spans="2:4" x14ac:dyDescent="0.3">
      <c r="C29" s="18"/>
    </row>
    <row r="30" spans="2:4" x14ac:dyDescent="0.3">
      <c r="B30" s="19">
        <v>5</v>
      </c>
      <c r="C30" s="21" t="s">
        <v>33</v>
      </c>
    </row>
    <row r="31" spans="2:4" x14ac:dyDescent="0.3">
      <c r="C31" s="20">
        <v>15000</v>
      </c>
      <c r="D31" s="8" t="s">
        <v>81</v>
      </c>
    </row>
    <row r="32" spans="2:4" x14ac:dyDescent="0.3">
      <c r="C32" s="20">
        <v>2</v>
      </c>
      <c r="D32" s="8" t="s">
        <v>35</v>
      </c>
    </row>
    <row r="33" spans="2:18" x14ac:dyDescent="0.3">
      <c r="C33" s="17">
        <v>0.12</v>
      </c>
      <c r="D33" s="8" t="s">
        <v>15</v>
      </c>
    </row>
    <row r="35" spans="2:18" x14ac:dyDescent="0.3">
      <c r="B35" s="19">
        <v>6</v>
      </c>
      <c r="C35" s="19" t="s">
        <v>36</v>
      </c>
    </row>
    <row r="36" spans="2:18" x14ac:dyDescent="0.3">
      <c r="C36" s="8">
        <v>5000</v>
      </c>
      <c r="D36" s="8" t="s">
        <v>81</v>
      </c>
    </row>
    <row r="37" spans="2:18" x14ac:dyDescent="0.3">
      <c r="C37" s="8" t="s">
        <v>37</v>
      </c>
      <c r="D37" s="8" t="s">
        <v>20</v>
      </c>
    </row>
    <row r="38" spans="2:18" x14ac:dyDescent="0.3">
      <c r="C38" s="24">
        <v>1E-4</v>
      </c>
      <c r="D38" s="8" t="s">
        <v>15</v>
      </c>
    </row>
    <row r="39" spans="2:18" x14ac:dyDescent="0.3">
      <c r="C39" s="24"/>
    </row>
    <row r="40" spans="2:18" x14ac:dyDescent="0.3">
      <c r="B40" s="19">
        <v>7</v>
      </c>
      <c r="C40" s="19" t="s">
        <v>38</v>
      </c>
    </row>
    <row r="41" spans="2:18" x14ac:dyDescent="0.3">
      <c r="C41" s="8">
        <v>6000</v>
      </c>
      <c r="D41" s="8" t="s">
        <v>81</v>
      </c>
    </row>
    <row r="42" spans="2:18" x14ac:dyDescent="0.3">
      <c r="C42" s="8" t="s">
        <v>37</v>
      </c>
      <c r="D42" s="8" t="s">
        <v>20</v>
      </c>
    </row>
    <row r="43" spans="2:18" x14ac:dyDescent="0.3">
      <c r="C43" s="24">
        <v>1E-4</v>
      </c>
      <c r="D43" s="8" t="s">
        <v>15</v>
      </c>
    </row>
    <row r="44" spans="2:18" x14ac:dyDescent="0.3">
      <c r="C44" s="24"/>
    </row>
    <row r="45" spans="2:18" s="19" customFormat="1" x14ac:dyDescent="0.3">
      <c r="B45" s="19">
        <v>8</v>
      </c>
      <c r="C45" s="25" t="s">
        <v>126</v>
      </c>
      <c r="N45" s="163"/>
      <c r="P45" s="101"/>
      <c r="R45" s="101"/>
    </row>
    <row r="46" spans="2:18" x14ac:dyDescent="0.3">
      <c r="C46" s="20">
        <v>5000</v>
      </c>
      <c r="D46" s="8" t="s">
        <v>81</v>
      </c>
    </row>
    <row r="47" spans="2:18" x14ac:dyDescent="0.3">
      <c r="C47" s="23">
        <v>2</v>
      </c>
      <c r="D47" s="8" t="s">
        <v>20</v>
      </c>
    </row>
    <row r="48" spans="2:18" x14ac:dyDescent="0.3">
      <c r="C48" s="24">
        <v>0.11</v>
      </c>
      <c r="D48" s="8" t="s">
        <v>15</v>
      </c>
    </row>
    <row r="49" spans="2:18" x14ac:dyDescent="0.3">
      <c r="C49" s="24"/>
    </row>
    <row r="50" spans="2:18" x14ac:dyDescent="0.3">
      <c r="B50" s="19">
        <v>9</v>
      </c>
      <c r="C50" s="25" t="s">
        <v>175</v>
      </c>
    </row>
    <row r="51" spans="2:18" x14ac:dyDescent="0.3">
      <c r="C51" s="20">
        <v>5000</v>
      </c>
      <c r="D51" s="8" t="s">
        <v>81</v>
      </c>
    </row>
    <row r="52" spans="2:18" x14ac:dyDescent="0.3">
      <c r="C52" s="20"/>
    </row>
    <row r="53" spans="2:18" s="142" customFormat="1" x14ac:dyDescent="0.3">
      <c r="C53" s="143" t="s">
        <v>106</v>
      </c>
      <c r="N53" s="164"/>
      <c r="P53" s="151"/>
      <c r="R53" s="151"/>
    </row>
    <row r="54" spans="2:18" x14ac:dyDescent="0.3">
      <c r="C54" s="24"/>
    </row>
    <row r="55" spans="2:18" x14ac:dyDescent="0.3">
      <c r="B55" s="19" t="s">
        <v>50</v>
      </c>
      <c r="C55" s="25" t="s">
        <v>46</v>
      </c>
    </row>
    <row r="56" spans="2:18" x14ac:dyDescent="0.3">
      <c r="C56" s="24"/>
      <c r="O56" s="28"/>
    </row>
    <row r="57" spans="2:18" s="7" customFormat="1" ht="22.8" customHeight="1" x14ac:dyDescent="0.3">
      <c r="B57" s="10" t="s">
        <v>11</v>
      </c>
      <c r="C57" s="10" t="s">
        <v>10</v>
      </c>
      <c r="D57" s="10" t="s">
        <v>0</v>
      </c>
      <c r="E57" s="10" t="s">
        <v>110</v>
      </c>
      <c r="F57" s="10" t="s">
        <v>111</v>
      </c>
      <c r="G57" s="10" t="s">
        <v>112</v>
      </c>
      <c r="H57" s="10" t="s">
        <v>113</v>
      </c>
      <c r="I57" s="10" t="s">
        <v>114</v>
      </c>
      <c r="J57" s="10" t="s">
        <v>115</v>
      </c>
      <c r="K57" s="10" t="s">
        <v>116</v>
      </c>
      <c r="L57" s="10" t="s">
        <v>117</v>
      </c>
      <c r="M57" s="10" t="s">
        <v>109</v>
      </c>
      <c r="N57" s="157" t="s">
        <v>43</v>
      </c>
      <c r="O57" s="32" t="s">
        <v>47</v>
      </c>
      <c r="P57" s="152"/>
      <c r="R57" s="152"/>
    </row>
    <row r="58" spans="2:18" x14ac:dyDescent="0.3">
      <c r="B58" s="11">
        <v>1</v>
      </c>
      <c r="C58" s="12" t="s">
        <v>12</v>
      </c>
      <c r="D58" s="79"/>
      <c r="E58" s="79">
        <f>C6</f>
        <v>10000</v>
      </c>
      <c r="F58" s="79"/>
      <c r="G58" s="79"/>
      <c r="H58" s="79"/>
      <c r="I58" s="79"/>
      <c r="J58" s="79"/>
      <c r="K58" s="79"/>
      <c r="L58" s="79"/>
      <c r="M58" s="79"/>
      <c r="N58" s="165" t="s">
        <v>44</v>
      </c>
      <c r="O58" s="33">
        <f>SUM(D58:M58)-C6</f>
        <v>0</v>
      </c>
    </row>
    <row r="59" spans="2:18" ht="20.399999999999999" x14ac:dyDescent="0.3">
      <c r="B59" s="11">
        <v>2</v>
      </c>
      <c r="C59" s="13" t="s">
        <v>19</v>
      </c>
      <c r="D59" s="79">
        <f>'annuity example'!I12</f>
        <v>112.8993008635867</v>
      </c>
      <c r="E59" s="79">
        <f>'annuity example'!I13</f>
        <v>230.04996602531781</v>
      </c>
      <c r="F59" s="79">
        <f>'annuity example'!I14</f>
        <v>355.97129168887943</v>
      </c>
      <c r="G59" s="79">
        <f>'annuity example'!I15</f>
        <v>369.48777192662067</v>
      </c>
      <c r="H59" s="79">
        <f>'annuity example'!I16</f>
        <v>383.51748242276409</v>
      </c>
      <c r="I59" s="79">
        <f>'annuity example'!I17</f>
        <v>3641.5832159249794</v>
      </c>
      <c r="J59" s="79">
        <f>'annuity example'!I18</f>
        <v>4906.4909711477931</v>
      </c>
      <c r="K59" s="79"/>
      <c r="L59" s="79"/>
      <c r="M59" s="79"/>
      <c r="N59" s="166" t="s">
        <v>49</v>
      </c>
      <c r="O59" s="31">
        <f>SUM(D59:M59)-C15</f>
        <v>-5.8207660913467407E-11</v>
      </c>
    </row>
    <row r="60" spans="2:18" ht="20.399999999999999" x14ac:dyDescent="0.3">
      <c r="B60" s="11">
        <v>3</v>
      </c>
      <c r="C60" s="12" t="s">
        <v>12</v>
      </c>
      <c r="D60" s="79">
        <f>$C$22/(12*$C$23)*'annuity example'!J12</f>
        <v>50</v>
      </c>
      <c r="E60" s="79">
        <f>$C$22/(12*$C$23)*'annuity example'!$J13</f>
        <v>100</v>
      </c>
      <c r="F60" s="79">
        <f>$C$22/(12*$C$23)*'annuity example'!$J14</f>
        <v>150</v>
      </c>
      <c r="G60" s="79">
        <f>$C$22/(12*$C$23)*'annuity example'!$J15</f>
        <v>150</v>
      </c>
      <c r="H60" s="79">
        <f>$C$22/(12*$C$23)*'annuity example'!$J16</f>
        <v>150</v>
      </c>
      <c r="I60" s="79">
        <f>$C$22/(12*$C$23)*'annuity example'!$J17</f>
        <v>1200</v>
      </c>
      <c r="J60" s="79">
        <f>$C$22/(12*$C$23)*'annuity example'!$J18</f>
        <v>1200</v>
      </c>
      <c r="K60" s="79">
        <f>$C$22/(12*$C$23)*'annuity example'!$J19</f>
        <v>1200</v>
      </c>
      <c r="L60" s="79">
        <f>$C$22/(12*$C$23)*'annuity example'!$J20</f>
        <v>1800</v>
      </c>
      <c r="M60" s="79"/>
      <c r="N60" s="165" t="s">
        <v>49</v>
      </c>
      <c r="O60" s="33">
        <f>SUM(D60:M60)-C22</f>
        <v>0</v>
      </c>
    </row>
    <row r="61" spans="2:18" x14ac:dyDescent="0.3">
      <c r="B61" s="11">
        <v>4</v>
      </c>
      <c r="C61" s="13" t="s">
        <v>34</v>
      </c>
      <c r="D61" s="79"/>
      <c r="E61" s="79"/>
      <c r="F61" s="79"/>
      <c r="G61" s="79"/>
      <c r="H61" s="79"/>
      <c r="I61" s="79"/>
      <c r="J61" s="80"/>
      <c r="K61" s="80"/>
      <c r="L61" s="80"/>
      <c r="M61" s="80">
        <f>C28</f>
        <v>10000</v>
      </c>
      <c r="N61" s="165" t="s">
        <v>48</v>
      </c>
      <c r="O61" s="33">
        <f>SUM(D61:M61)-C28</f>
        <v>0</v>
      </c>
    </row>
    <row r="62" spans="2:18" ht="20.399999999999999" x14ac:dyDescent="0.3">
      <c r="B62" s="11">
        <v>5</v>
      </c>
      <c r="C62" s="13" t="s">
        <v>33</v>
      </c>
      <c r="D62" s="79"/>
      <c r="E62" s="79">
        <f>C31</f>
        <v>15000</v>
      </c>
      <c r="F62" s="79"/>
      <c r="G62" s="79"/>
      <c r="H62" s="79"/>
      <c r="I62" s="79"/>
      <c r="J62" s="80"/>
      <c r="K62" s="80"/>
      <c r="L62" s="80"/>
      <c r="M62" s="80"/>
      <c r="N62" s="165" t="s">
        <v>49</v>
      </c>
      <c r="O62" s="33">
        <f>SUM(D62:M62)-C31</f>
        <v>0</v>
      </c>
    </row>
    <row r="63" spans="2:18" ht="20.399999999999999" x14ac:dyDescent="0.3">
      <c r="B63" s="11">
        <v>6</v>
      </c>
      <c r="C63" s="12" t="s">
        <v>36</v>
      </c>
      <c r="D63" s="79"/>
      <c r="E63" s="79"/>
      <c r="F63" s="79"/>
      <c r="G63" s="79"/>
      <c r="H63" s="79"/>
      <c r="I63" s="79"/>
      <c r="J63" s="80"/>
      <c r="K63" s="80"/>
      <c r="L63" s="80"/>
      <c r="M63" s="80">
        <f>C36</f>
        <v>5000</v>
      </c>
      <c r="N63" s="165" t="s">
        <v>48</v>
      </c>
      <c r="O63" s="33">
        <f>SUM(D63:M63)-C36</f>
        <v>0</v>
      </c>
    </row>
    <row r="64" spans="2:18" x14ac:dyDescent="0.3">
      <c r="B64" s="11">
        <v>7</v>
      </c>
      <c r="C64" s="12" t="s">
        <v>38</v>
      </c>
      <c r="D64" s="79"/>
      <c r="E64" s="79"/>
      <c r="F64" s="79"/>
      <c r="G64" s="79"/>
      <c r="H64" s="79"/>
      <c r="I64" s="79"/>
      <c r="J64" s="79"/>
      <c r="K64" s="79"/>
      <c r="L64" s="79"/>
      <c r="M64" s="79">
        <f>C41</f>
        <v>6000</v>
      </c>
      <c r="N64" s="165" t="s">
        <v>48</v>
      </c>
      <c r="O64" s="33">
        <f>SUM(D64:M64)-C41</f>
        <v>0</v>
      </c>
    </row>
    <row r="65" spans="1:18" ht="20.399999999999999" x14ac:dyDescent="0.3">
      <c r="B65" s="11">
        <v>8</v>
      </c>
      <c r="C65" s="14" t="s">
        <v>39</v>
      </c>
      <c r="D65" s="79"/>
      <c r="E65" s="79"/>
      <c r="F65" s="79"/>
      <c r="G65" s="79"/>
      <c r="H65" s="79"/>
      <c r="I65" s="79"/>
      <c r="J65" s="79">
        <f>C46</f>
        <v>5000</v>
      </c>
      <c r="K65" s="79"/>
      <c r="L65" s="79"/>
      <c r="M65" s="79"/>
      <c r="N65" s="165" t="s">
        <v>49</v>
      </c>
      <c r="O65" s="33">
        <f>SUM(D65:M65)-C46</f>
        <v>0</v>
      </c>
    </row>
    <row r="66" spans="1:18" x14ac:dyDescent="0.3">
      <c r="B66" s="11">
        <v>9</v>
      </c>
      <c r="C66" s="14" t="s">
        <v>42</v>
      </c>
      <c r="D66" s="79"/>
      <c r="E66" s="79"/>
      <c r="F66" s="79"/>
      <c r="G66" s="79"/>
      <c r="H66" s="79"/>
      <c r="I66" s="79"/>
      <c r="J66" s="79"/>
      <c r="K66" s="79"/>
      <c r="L66" s="79"/>
      <c r="M66" s="79">
        <f>C51</f>
        <v>5000</v>
      </c>
      <c r="N66" s="165" t="s">
        <v>48</v>
      </c>
      <c r="O66" s="33">
        <f>SUM(D66:M66)-C51</f>
        <v>0</v>
      </c>
    </row>
    <row r="67" spans="1:18" x14ac:dyDescent="0.3">
      <c r="D67" s="22"/>
      <c r="E67" s="22"/>
      <c r="F67" s="22"/>
      <c r="G67" s="22"/>
      <c r="H67" s="22"/>
      <c r="I67" s="22"/>
      <c r="J67" s="22"/>
      <c r="K67" s="22"/>
      <c r="L67" s="22"/>
      <c r="M67" s="22"/>
      <c r="O67" s="28"/>
    </row>
    <row r="68" spans="1:18" s="144" customFormat="1" x14ac:dyDescent="0.3">
      <c r="A68" s="144" t="s">
        <v>40</v>
      </c>
      <c r="B68" s="26" t="s">
        <v>51</v>
      </c>
      <c r="C68" s="26" t="s">
        <v>52</v>
      </c>
      <c r="N68" s="167"/>
      <c r="P68" s="153"/>
      <c r="R68" s="153"/>
    </row>
    <row r="70" spans="1:18" ht="22.2" customHeight="1" x14ac:dyDescent="0.3">
      <c r="B70" s="10" t="s">
        <v>11</v>
      </c>
      <c r="C70" s="10" t="s">
        <v>10</v>
      </c>
      <c r="D70" s="10" t="s">
        <v>0</v>
      </c>
      <c r="E70" s="10" t="s">
        <v>110</v>
      </c>
      <c r="F70" s="10" t="s">
        <v>111</v>
      </c>
      <c r="G70" s="10" t="s">
        <v>112</v>
      </c>
      <c r="H70" s="10" t="s">
        <v>113</v>
      </c>
      <c r="I70" s="10" t="s">
        <v>114</v>
      </c>
      <c r="J70" s="10" t="s">
        <v>115</v>
      </c>
      <c r="K70" s="10" t="s">
        <v>116</v>
      </c>
      <c r="L70" s="10" t="s">
        <v>117</v>
      </c>
      <c r="M70" s="10" t="s">
        <v>109</v>
      </c>
      <c r="N70" s="157" t="s">
        <v>43</v>
      </c>
    </row>
    <row r="71" spans="1:18" x14ac:dyDescent="0.3">
      <c r="B71" s="11">
        <v>1</v>
      </c>
      <c r="C71" s="12" t="s">
        <v>12</v>
      </c>
      <c r="D71" s="79">
        <f t="shared" ref="D71:E74" si="0">D58</f>
        <v>0</v>
      </c>
      <c r="E71" s="79">
        <f t="shared" si="0"/>
        <v>10000</v>
      </c>
      <c r="F71" s="79">
        <f t="shared" ref="F71:M71" si="1">F58</f>
        <v>0</v>
      </c>
      <c r="G71" s="79">
        <f t="shared" si="1"/>
        <v>0</v>
      </c>
      <c r="H71" s="79">
        <f t="shared" si="1"/>
        <v>0</v>
      </c>
      <c r="I71" s="79">
        <f t="shared" si="1"/>
        <v>0</v>
      </c>
      <c r="J71" s="79">
        <f t="shared" si="1"/>
        <v>0</v>
      </c>
      <c r="K71" s="79">
        <f t="shared" si="1"/>
        <v>0</v>
      </c>
      <c r="L71" s="79">
        <f t="shared" si="1"/>
        <v>0</v>
      </c>
      <c r="M71" s="79">
        <f t="shared" si="1"/>
        <v>0</v>
      </c>
      <c r="N71" s="165"/>
    </row>
    <row r="72" spans="1:18" x14ac:dyDescent="0.3">
      <c r="B72" s="11">
        <v>2</v>
      </c>
      <c r="C72" s="13" t="s">
        <v>19</v>
      </c>
      <c r="D72" s="79">
        <f t="shared" si="0"/>
        <v>112.8993008635867</v>
      </c>
      <c r="E72" s="79">
        <f t="shared" si="0"/>
        <v>230.04996602531781</v>
      </c>
      <c r="F72" s="79">
        <f t="shared" ref="F72:M72" si="2">F59</f>
        <v>355.97129168887943</v>
      </c>
      <c r="G72" s="79">
        <f t="shared" si="2"/>
        <v>369.48777192662067</v>
      </c>
      <c r="H72" s="79">
        <f t="shared" si="2"/>
        <v>383.51748242276409</v>
      </c>
      <c r="I72" s="79">
        <f t="shared" si="2"/>
        <v>3641.5832159249794</v>
      </c>
      <c r="J72" s="79">
        <f t="shared" si="2"/>
        <v>4906.4909711477931</v>
      </c>
      <c r="K72" s="79">
        <f t="shared" si="2"/>
        <v>0</v>
      </c>
      <c r="L72" s="79">
        <f t="shared" si="2"/>
        <v>0</v>
      </c>
      <c r="M72" s="79">
        <f t="shared" si="2"/>
        <v>0</v>
      </c>
      <c r="N72" s="165"/>
    </row>
    <row r="73" spans="1:18" x14ac:dyDescent="0.3">
      <c r="B73" s="11">
        <v>3</v>
      </c>
      <c r="C73" s="12" t="s">
        <v>12</v>
      </c>
      <c r="D73" s="79">
        <f t="shared" si="0"/>
        <v>50</v>
      </c>
      <c r="E73" s="79">
        <f t="shared" si="0"/>
        <v>100</v>
      </c>
      <c r="F73" s="79">
        <f t="shared" ref="F73:M73" si="3">F60</f>
        <v>150</v>
      </c>
      <c r="G73" s="79">
        <f t="shared" si="3"/>
        <v>150</v>
      </c>
      <c r="H73" s="79">
        <f t="shared" si="3"/>
        <v>150</v>
      </c>
      <c r="I73" s="79">
        <f t="shared" si="3"/>
        <v>1200</v>
      </c>
      <c r="J73" s="79">
        <f t="shared" si="3"/>
        <v>1200</v>
      </c>
      <c r="K73" s="79">
        <f t="shared" si="3"/>
        <v>1200</v>
      </c>
      <c r="L73" s="79">
        <f t="shared" si="3"/>
        <v>1800</v>
      </c>
      <c r="M73" s="79">
        <f t="shared" si="3"/>
        <v>0</v>
      </c>
      <c r="N73" s="165"/>
    </row>
    <row r="74" spans="1:18" x14ac:dyDescent="0.3">
      <c r="B74" s="11">
        <v>4</v>
      </c>
      <c r="C74" s="13" t="s">
        <v>34</v>
      </c>
      <c r="D74" s="79">
        <f t="shared" si="0"/>
        <v>0</v>
      </c>
      <c r="E74" s="79">
        <f t="shared" si="0"/>
        <v>0</v>
      </c>
      <c r="F74" s="79">
        <f t="shared" ref="F74:M74" si="4">F61</f>
        <v>0</v>
      </c>
      <c r="G74" s="79">
        <f t="shared" si="4"/>
        <v>0</v>
      </c>
      <c r="H74" s="79">
        <f t="shared" si="4"/>
        <v>0</v>
      </c>
      <c r="I74" s="79">
        <f t="shared" si="4"/>
        <v>0</v>
      </c>
      <c r="J74" s="79">
        <f t="shared" si="4"/>
        <v>0</v>
      </c>
      <c r="K74" s="79">
        <f t="shared" si="4"/>
        <v>0</v>
      </c>
      <c r="L74" s="79">
        <f t="shared" si="4"/>
        <v>0</v>
      </c>
      <c r="M74" s="79">
        <f t="shared" si="4"/>
        <v>10000</v>
      </c>
      <c r="N74" s="165"/>
    </row>
    <row r="75" spans="1:18" x14ac:dyDescent="0.3">
      <c r="B75" s="11">
        <v>5</v>
      </c>
      <c r="C75" s="13" t="s">
        <v>33</v>
      </c>
      <c r="D75" s="79">
        <f t="shared" ref="D75:E77" si="5">-D62</f>
        <v>0</v>
      </c>
      <c r="E75" s="79">
        <f t="shared" si="5"/>
        <v>-15000</v>
      </c>
      <c r="F75" s="79">
        <f t="shared" ref="F75:M75" si="6">-F62</f>
        <v>0</v>
      </c>
      <c r="G75" s="79">
        <f t="shared" si="6"/>
        <v>0</v>
      </c>
      <c r="H75" s="79">
        <f t="shared" si="6"/>
        <v>0</v>
      </c>
      <c r="I75" s="79">
        <f t="shared" si="6"/>
        <v>0</v>
      </c>
      <c r="J75" s="79">
        <f t="shared" si="6"/>
        <v>0</v>
      </c>
      <c r="K75" s="79">
        <f t="shared" si="6"/>
        <v>0</v>
      </c>
      <c r="L75" s="79">
        <f t="shared" si="6"/>
        <v>0</v>
      </c>
      <c r="M75" s="79">
        <f t="shared" si="6"/>
        <v>0</v>
      </c>
      <c r="N75" s="165"/>
    </row>
    <row r="76" spans="1:18" ht="20.399999999999999" x14ac:dyDescent="0.3">
      <c r="B76" s="11">
        <v>6</v>
      </c>
      <c r="C76" s="12" t="s">
        <v>36</v>
      </c>
      <c r="D76" s="79">
        <f t="shared" si="5"/>
        <v>0</v>
      </c>
      <c r="E76" s="79">
        <f t="shared" si="5"/>
        <v>0</v>
      </c>
      <c r="F76" s="79">
        <f t="shared" ref="F76:M76" si="7">-F63</f>
        <v>0</v>
      </c>
      <c r="G76" s="79">
        <f t="shared" si="7"/>
        <v>0</v>
      </c>
      <c r="H76" s="79">
        <f t="shared" si="7"/>
        <v>0</v>
      </c>
      <c r="I76" s="79">
        <f t="shared" si="7"/>
        <v>0</v>
      </c>
      <c r="J76" s="79">
        <f t="shared" si="7"/>
        <v>0</v>
      </c>
      <c r="K76" s="79">
        <f t="shared" si="7"/>
        <v>0</v>
      </c>
      <c r="L76" s="79">
        <f t="shared" si="7"/>
        <v>0</v>
      </c>
      <c r="M76" s="79">
        <f t="shared" si="7"/>
        <v>-5000</v>
      </c>
      <c r="N76" s="165"/>
    </row>
    <row r="77" spans="1:18" x14ac:dyDescent="0.3">
      <c r="B77" s="11">
        <v>7</v>
      </c>
      <c r="C77" s="12" t="s">
        <v>38</v>
      </c>
      <c r="D77" s="79">
        <f t="shared" si="5"/>
        <v>0</v>
      </c>
      <c r="E77" s="79">
        <f t="shared" si="5"/>
        <v>0</v>
      </c>
      <c r="F77" s="79">
        <f t="shared" ref="F77:M77" si="8">-F64</f>
        <v>0</v>
      </c>
      <c r="G77" s="79">
        <f t="shared" si="8"/>
        <v>0</v>
      </c>
      <c r="H77" s="79">
        <f t="shared" si="8"/>
        <v>0</v>
      </c>
      <c r="I77" s="79">
        <f t="shared" si="8"/>
        <v>0</v>
      </c>
      <c r="J77" s="79">
        <f t="shared" si="8"/>
        <v>0</v>
      </c>
      <c r="K77" s="79">
        <f t="shared" si="8"/>
        <v>0</v>
      </c>
      <c r="L77" s="79">
        <f t="shared" si="8"/>
        <v>0</v>
      </c>
      <c r="M77" s="79">
        <f t="shared" si="8"/>
        <v>-6000</v>
      </c>
      <c r="N77" s="165"/>
    </row>
    <row r="78" spans="1:18" x14ac:dyDescent="0.3">
      <c r="B78" s="11">
        <v>8</v>
      </c>
      <c r="C78" s="14" t="s">
        <v>39</v>
      </c>
      <c r="D78" s="79">
        <f t="shared" ref="D78:E79" si="9">-D65</f>
        <v>0</v>
      </c>
      <c r="E78" s="79">
        <f t="shared" si="9"/>
        <v>0</v>
      </c>
      <c r="F78" s="79">
        <f t="shared" ref="F78:M78" si="10">-F65</f>
        <v>0</v>
      </c>
      <c r="G78" s="79">
        <f t="shared" si="10"/>
        <v>0</v>
      </c>
      <c r="H78" s="79">
        <f t="shared" si="10"/>
        <v>0</v>
      </c>
      <c r="I78" s="79">
        <f>-J65</f>
        <v>-5000</v>
      </c>
      <c r="J78" s="79">
        <v>0</v>
      </c>
      <c r="K78" s="79">
        <f t="shared" si="10"/>
        <v>0</v>
      </c>
      <c r="L78" s="79">
        <f t="shared" si="10"/>
        <v>0</v>
      </c>
      <c r="M78" s="79">
        <f t="shared" si="10"/>
        <v>0</v>
      </c>
      <c r="N78" s="165"/>
    </row>
    <row r="79" spans="1:18" x14ac:dyDescent="0.3">
      <c r="B79" s="11">
        <v>9</v>
      </c>
      <c r="C79" s="14" t="s">
        <v>42</v>
      </c>
      <c r="D79" s="79">
        <f t="shared" si="9"/>
        <v>0</v>
      </c>
      <c r="E79" s="79">
        <f t="shared" si="9"/>
        <v>0</v>
      </c>
      <c r="F79" s="79">
        <f t="shared" ref="F79:M79" si="11">-F66</f>
        <v>0</v>
      </c>
      <c r="G79" s="79">
        <f t="shared" si="11"/>
        <v>0</v>
      </c>
      <c r="H79" s="79">
        <f t="shared" si="11"/>
        <v>0</v>
      </c>
      <c r="I79" s="79">
        <f t="shared" si="11"/>
        <v>0</v>
      </c>
      <c r="J79" s="79">
        <f t="shared" si="11"/>
        <v>0</v>
      </c>
      <c r="K79" s="79">
        <f t="shared" si="11"/>
        <v>0</v>
      </c>
      <c r="L79" s="79">
        <f t="shared" si="11"/>
        <v>0</v>
      </c>
      <c r="M79" s="79">
        <f t="shared" si="11"/>
        <v>-5000</v>
      </c>
      <c r="N79" s="165"/>
    </row>
    <row r="80" spans="1:18" s="109" customFormat="1" ht="10.8" thickBot="1" x14ac:dyDescent="0.35">
      <c r="C80" s="109" t="s">
        <v>53</v>
      </c>
      <c r="D80" s="110">
        <f>SUM(D71:D79)</f>
        <v>162.89930086358669</v>
      </c>
      <c r="E80" s="110">
        <f>SUM(E71:E79)</f>
        <v>-4669.9500339746828</v>
      </c>
      <c r="F80" s="110">
        <f t="shared" ref="F80:M80" si="12">SUM(F71:F79)</f>
        <v>505.97129168887943</v>
      </c>
      <c r="G80" s="110">
        <f t="shared" si="12"/>
        <v>519.48777192662067</v>
      </c>
      <c r="H80" s="110">
        <f t="shared" si="12"/>
        <v>533.51748242276403</v>
      </c>
      <c r="I80" s="110">
        <f t="shared" si="12"/>
        <v>-158.41678407502059</v>
      </c>
      <c r="J80" s="110">
        <f t="shared" si="12"/>
        <v>6106.4909711477931</v>
      </c>
      <c r="K80" s="110">
        <f t="shared" si="12"/>
        <v>1200</v>
      </c>
      <c r="L80" s="110">
        <f t="shared" si="12"/>
        <v>1800</v>
      </c>
      <c r="M80" s="110">
        <f t="shared" si="12"/>
        <v>-6000</v>
      </c>
      <c r="N80" s="168"/>
      <c r="P80" s="110"/>
      <c r="R80" s="110"/>
    </row>
    <row r="81" spans="2:18" s="109" customFormat="1" ht="10.8" thickBot="1" x14ac:dyDescent="0.35">
      <c r="C81" s="109" t="s">
        <v>54</v>
      </c>
      <c r="D81" s="110">
        <f>D80</f>
        <v>162.89930086358669</v>
      </c>
      <c r="E81" s="110">
        <f>SUM($D$80:E80)</f>
        <v>-4507.0507331110957</v>
      </c>
      <c r="F81" s="110">
        <f>SUM($D$80:F80)</f>
        <v>-4001.0794414222164</v>
      </c>
      <c r="G81" s="110">
        <f>SUM($D$80:G80)</f>
        <v>-3481.5916694955959</v>
      </c>
      <c r="H81" s="112">
        <f>SUM($D$80:H80)</f>
        <v>-2948.0741870728316</v>
      </c>
      <c r="I81" s="110">
        <f>SUM($D$80:I80)</f>
        <v>-3106.4909711478522</v>
      </c>
      <c r="J81" s="110">
        <f>SUM($D$80:J80)</f>
        <v>2999.9999999999409</v>
      </c>
      <c r="K81" s="110">
        <f>SUM($D$80:K80)</f>
        <v>4199.9999999999409</v>
      </c>
      <c r="L81" s="110">
        <f>SUM($D$80:L80)</f>
        <v>5999.9999999999409</v>
      </c>
      <c r="M81" s="110">
        <f>SUM($D$80:M80)</f>
        <v>-5.9117155615240335E-11</v>
      </c>
      <c r="N81" s="168"/>
      <c r="P81" s="110"/>
      <c r="R81" s="110"/>
    </row>
    <row r="83" spans="2:18" ht="13.2" x14ac:dyDescent="0.3">
      <c r="B83" s="106" t="s">
        <v>169</v>
      </c>
    </row>
    <row r="111" spans="2:18" s="19" customFormat="1" x14ac:dyDescent="0.3">
      <c r="B111" s="19" t="s">
        <v>55</v>
      </c>
      <c r="C111" s="19" t="s">
        <v>67</v>
      </c>
      <c r="N111" s="163"/>
      <c r="P111" s="101"/>
      <c r="R111" s="101"/>
    </row>
    <row r="112" spans="2:18" x14ac:dyDescent="0.3">
      <c r="B112" s="19"/>
      <c r="C112" s="19"/>
    </row>
    <row r="113" spans="1:18" x14ac:dyDescent="0.3">
      <c r="C113" s="8" t="s">
        <v>62</v>
      </c>
    </row>
    <row r="115" spans="1:18" x14ac:dyDescent="0.3">
      <c r="C115" s="8" t="s">
        <v>72</v>
      </c>
    </row>
    <row r="116" spans="1:18" x14ac:dyDescent="0.3">
      <c r="C116" s="8" t="s">
        <v>105</v>
      </c>
      <c r="G116" s="17">
        <v>0.01</v>
      </c>
    </row>
    <row r="117" spans="1:18" x14ac:dyDescent="0.3">
      <c r="C117" s="17" t="s">
        <v>73</v>
      </c>
    </row>
    <row r="118" spans="1:18" x14ac:dyDescent="0.3">
      <c r="C118" s="17" t="s">
        <v>71</v>
      </c>
    </row>
    <row r="119" spans="1:18" x14ac:dyDescent="0.3">
      <c r="C119" s="17"/>
    </row>
    <row r="120" spans="1:18" s="144" customFormat="1" x14ac:dyDescent="0.3">
      <c r="A120" s="144" t="s">
        <v>40</v>
      </c>
      <c r="B120" s="26" t="s">
        <v>56</v>
      </c>
      <c r="C120" s="26" t="s">
        <v>58</v>
      </c>
      <c r="N120" s="167"/>
      <c r="P120" s="153"/>
      <c r="R120" s="153"/>
    </row>
    <row r="122" spans="1:18" x14ac:dyDescent="0.3">
      <c r="C122" s="10" t="s">
        <v>59</v>
      </c>
      <c r="D122" s="10" t="s">
        <v>0</v>
      </c>
      <c r="E122" s="10" t="s">
        <v>110</v>
      </c>
      <c r="F122" s="10" t="s">
        <v>111</v>
      </c>
      <c r="G122" s="10" t="s">
        <v>112</v>
      </c>
      <c r="H122" s="10" t="s">
        <v>113</v>
      </c>
    </row>
    <row r="123" spans="1:18" ht="20.399999999999999" x14ac:dyDescent="0.3">
      <c r="C123" s="12" t="s">
        <v>60</v>
      </c>
      <c r="D123" s="79">
        <f>'annuity example'!J12</f>
        <v>1</v>
      </c>
      <c r="E123" s="79">
        <f>'annuity example'!J13+D123</f>
        <v>3</v>
      </c>
      <c r="F123" s="79">
        <f>'annuity example'!J14+E123</f>
        <v>6</v>
      </c>
      <c r="G123" s="79">
        <f>'annuity example'!J15+F123</f>
        <v>9</v>
      </c>
      <c r="H123" s="79">
        <f>'annuity example'!J16+G123</f>
        <v>12</v>
      </c>
    </row>
    <row r="124" spans="1:18" x14ac:dyDescent="0.3">
      <c r="C124" s="11" t="s">
        <v>53</v>
      </c>
      <c r="D124" s="79">
        <f>D80</f>
        <v>162.89930086358669</v>
      </c>
      <c r="E124" s="79">
        <f>E80</f>
        <v>-4669.9500339746828</v>
      </c>
      <c r="F124" s="79">
        <f>F80</f>
        <v>505.97129168887943</v>
      </c>
      <c r="G124" s="79">
        <f>G80</f>
        <v>519.48777192662067</v>
      </c>
      <c r="H124" s="79">
        <f>H80</f>
        <v>533.51748242276403</v>
      </c>
    </row>
    <row r="125" spans="1:18" s="40" customFormat="1" ht="40.799999999999997" x14ac:dyDescent="0.3">
      <c r="C125" s="56" t="s">
        <v>61</v>
      </c>
      <c r="D125" s="81">
        <f>(D123+0)/2</f>
        <v>0.5</v>
      </c>
      <c r="E125" s="81">
        <f>(E123+D123)/2</f>
        <v>2</v>
      </c>
      <c r="F125" s="81">
        <f t="shared" ref="F125:H125" si="13">(F123+E123)/2</f>
        <v>4.5</v>
      </c>
      <c r="G125" s="81">
        <f t="shared" si="13"/>
        <v>7.5</v>
      </c>
      <c r="H125" s="81">
        <f t="shared" si="13"/>
        <v>10.5</v>
      </c>
      <c r="N125" s="169"/>
      <c r="P125" s="154"/>
      <c r="R125" s="154"/>
    </row>
    <row r="126" spans="1:18" ht="20.399999999999999" x14ac:dyDescent="0.3">
      <c r="C126" s="211" t="s">
        <v>176</v>
      </c>
      <c r="D126" s="82">
        <f>D124*$G$116*((12-D125)/12)</f>
        <v>1.5611182999427058</v>
      </c>
      <c r="E126" s="82">
        <f>E124*$G$116*((12-E125)/12)</f>
        <v>-38.916250283122359</v>
      </c>
      <c r="F126" s="82">
        <f>F124*$G$116*((12-F125)/12)</f>
        <v>3.1623205730554966</v>
      </c>
      <c r="G126" s="82">
        <f>G124*$G$116*((12-G125)/12)</f>
        <v>1.9480791447248276</v>
      </c>
      <c r="H126" s="82">
        <f>H124*$G$116*((12-H125)/12)</f>
        <v>0.66689685302845503</v>
      </c>
    </row>
    <row r="127" spans="1:18" ht="10.8" thickBot="1" x14ac:dyDescent="0.35">
      <c r="C127" s="209"/>
      <c r="D127" s="83"/>
      <c r="E127" s="83"/>
      <c r="F127" s="83"/>
      <c r="G127" s="83"/>
      <c r="H127" s="83"/>
    </row>
    <row r="128" spans="1:18" ht="21" thickBot="1" x14ac:dyDescent="0.35">
      <c r="C128" s="210" t="s">
        <v>177</v>
      </c>
      <c r="D128" s="84">
        <f>SUM(D126:H126)</f>
        <v>-31.577835412370874</v>
      </c>
      <c r="E128" s="83"/>
      <c r="F128" s="83"/>
      <c r="G128" s="83"/>
      <c r="H128" s="83"/>
    </row>
    <row r="129" spans="1:21" x14ac:dyDescent="0.3">
      <c r="D129" s="83"/>
      <c r="E129" s="83"/>
      <c r="F129" s="83"/>
      <c r="G129" s="83"/>
      <c r="H129" s="83"/>
    </row>
    <row r="130" spans="1:21" x14ac:dyDescent="0.3">
      <c r="D130" s="83"/>
      <c r="E130" s="83"/>
      <c r="F130" s="83"/>
      <c r="G130" s="83"/>
      <c r="H130" s="83"/>
    </row>
    <row r="131" spans="1:21" s="26" customFormat="1" x14ac:dyDescent="0.3">
      <c r="A131" s="26" t="s">
        <v>40</v>
      </c>
      <c r="B131" s="26" t="s">
        <v>57</v>
      </c>
      <c r="C131" s="26" t="s">
        <v>121</v>
      </c>
      <c r="N131" s="170"/>
      <c r="P131" s="155"/>
      <c r="R131" s="155"/>
    </row>
    <row r="133" spans="1:21" x14ac:dyDescent="0.3">
      <c r="B133" s="19" t="s">
        <v>68</v>
      </c>
      <c r="C133" s="19" t="s">
        <v>70</v>
      </c>
    </row>
    <row r="135" spans="1:21" s="29" customFormat="1" ht="20.399999999999999" x14ac:dyDescent="0.3">
      <c r="B135" s="10" t="s">
        <v>11</v>
      </c>
      <c r="C135" s="10" t="s">
        <v>10</v>
      </c>
      <c r="D135" s="10" t="s">
        <v>64</v>
      </c>
      <c r="E135" s="10" t="s">
        <v>65</v>
      </c>
      <c r="F135" s="10" t="s">
        <v>66</v>
      </c>
      <c r="N135" s="156"/>
      <c r="P135" s="156"/>
      <c r="R135" s="156"/>
    </row>
    <row r="136" spans="1:21" x14ac:dyDescent="0.3">
      <c r="B136" s="11">
        <v>1</v>
      </c>
      <c r="C136" s="12" t="s">
        <v>12</v>
      </c>
      <c r="D136" s="16">
        <f>SUM(D58:M58)</f>
        <v>10000</v>
      </c>
      <c r="E136" s="205">
        <f>C2+1%</f>
        <v>0.12790000000000001</v>
      </c>
      <c r="F136" s="16">
        <f>D136*E136</f>
        <v>1279.0000000000002</v>
      </c>
    </row>
    <row r="137" spans="1:21" x14ac:dyDescent="0.3">
      <c r="B137" s="11">
        <v>2</v>
      </c>
      <c r="C137" s="13" t="s">
        <v>19</v>
      </c>
      <c r="D137" s="16">
        <f>SUM(D59:M59)</f>
        <v>9999.9999999999418</v>
      </c>
      <c r="E137" s="205">
        <f>C17</f>
        <v>0.15</v>
      </c>
      <c r="F137" s="16">
        <f t="shared" ref="F137:F144" si="14">D137*E137</f>
        <v>1499.9999999999911</v>
      </c>
    </row>
    <row r="138" spans="1:21" x14ac:dyDescent="0.3">
      <c r="B138" s="11">
        <v>3</v>
      </c>
      <c r="C138" s="12" t="s">
        <v>12</v>
      </c>
      <c r="D138" s="16">
        <f>SUM(D60:M60)</f>
        <v>6000</v>
      </c>
      <c r="E138" s="205">
        <f>C24</f>
        <v>0.14000000000000001</v>
      </c>
      <c r="F138" s="16">
        <f t="shared" si="14"/>
        <v>840.00000000000011</v>
      </c>
    </row>
    <row r="139" spans="1:21" x14ac:dyDescent="0.3">
      <c r="B139" s="11">
        <v>4</v>
      </c>
      <c r="C139" s="13" t="s">
        <v>34</v>
      </c>
      <c r="D139" s="16">
        <f>SUM(D61:M61)</f>
        <v>10000</v>
      </c>
      <c r="E139" s="206">
        <v>0</v>
      </c>
      <c r="F139" s="16">
        <f t="shared" si="14"/>
        <v>0</v>
      </c>
    </row>
    <row r="140" spans="1:21" x14ac:dyDescent="0.3">
      <c r="B140" s="11">
        <v>5</v>
      </c>
      <c r="C140" s="13" t="s">
        <v>33</v>
      </c>
      <c r="D140" s="16">
        <f>-SUM(D62:M62)</f>
        <v>-15000</v>
      </c>
      <c r="E140" s="205">
        <f>C33</f>
        <v>0.12</v>
      </c>
      <c r="F140" s="16">
        <f t="shared" si="14"/>
        <v>-1800</v>
      </c>
    </row>
    <row r="141" spans="1:21" ht="20.399999999999999" x14ac:dyDescent="0.3">
      <c r="B141" s="11">
        <v>6</v>
      </c>
      <c r="C141" s="12" t="s">
        <v>36</v>
      </c>
      <c r="D141" s="16">
        <f>-SUM(D63:M63)</f>
        <v>-5000</v>
      </c>
      <c r="E141" s="205">
        <f>C38</f>
        <v>1E-4</v>
      </c>
      <c r="F141" s="16">
        <f t="shared" si="14"/>
        <v>-0.5</v>
      </c>
    </row>
    <row r="142" spans="1:21" x14ac:dyDescent="0.3">
      <c r="B142" s="11">
        <v>7</v>
      </c>
      <c r="C142" s="12" t="s">
        <v>38</v>
      </c>
      <c r="D142" s="16">
        <f>-SUM(D64:M64)</f>
        <v>-6000</v>
      </c>
      <c r="E142" s="205">
        <f>C43</f>
        <v>1E-4</v>
      </c>
      <c r="F142" s="16">
        <f t="shared" si="14"/>
        <v>-0.6</v>
      </c>
    </row>
    <row r="143" spans="1:21" x14ac:dyDescent="0.3">
      <c r="B143" s="11">
        <v>8</v>
      </c>
      <c r="C143" s="14" t="s">
        <v>39</v>
      </c>
      <c r="D143" s="16">
        <f>-SUM(D65:M65)</f>
        <v>-5000</v>
      </c>
      <c r="E143" s="205">
        <f>C48</f>
        <v>0.11</v>
      </c>
      <c r="F143" s="16">
        <f t="shared" si="14"/>
        <v>-550</v>
      </c>
    </row>
    <row r="144" spans="1:21" x14ac:dyDescent="0.3">
      <c r="B144" s="11">
        <v>9</v>
      </c>
      <c r="C144" s="14" t="s">
        <v>42</v>
      </c>
      <c r="D144" s="16">
        <f>-SUM(D66:M66)</f>
        <v>-5000</v>
      </c>
      <c r="E144" s="207">
        <v>0</v>
      </c>
      <c r="F144" s="16">
        <f t="shared" si="14"/>
        <v>0</v>
      </c>
      <c r="U144" s="8" t="s">
        <v>129</v>
      </c>
    </row>
    <row r="145" spans="2:21" s="19" customFormat="1" ht="14.4" x14ac:dyDescent="0.3">
      <c r="B145" s="35"/>
      <c r="C145" s="36" t="s">
        <v>80</v>
      </c>
      <c r="D145" s="37"/>
      <c r="E145" s="38"/>
      <c r="F145" s="37">
        <f>SUM(F136:F144)</f>
        <v>1267.8999999999915</v>
      </c>
      <c r="N145" s="163"/>
      <c r="P145" s="101"/>
      <c r="R145" s="101"/>
      <c r="U145" s="150" t="s">
        <v>122</v>
      </c>
    </row>
    <row r="146" spans="2:21" x14ac:dyDescent="0.3">
      <c r="C146" s="30" t="s">
        <v>47</v>
      </c>
      <c r="D146" s="31">
        <f>SUM(D136:D144)</f>
        <v>-5.8207660913467407E-11</v>
      </c>
    </row>
    <row r="148" spans="2:21" ht="13.2" x14ac:dyDescent="0.3">
      <c r="B148" s="19" t="s">
        <v>69</v>
      </c>
      <c r="C148" s="19" t="s">
        <v>67</v>
      </c>
      <c r="N148" s="188"/>
      <c r="O148" s="189"/>
      <c r="P148" s="190"/>
      <c r="Q148" s="189"/>
      <c r="R148" s="191"/>
      <c r="S148" s="192"/>
    </row>
    <row r="149" spans="2:21" ht="10.8" thickBot="1" x14ac:dyDescent="0.35">
      <c r="N149" s="188"/>
      <c r="O149" s="189"/>
      <c r="P149" s="190"/>
      <c r="Q149" s="189"/>
      <c r="R149" s="190"/>
      <c r="S149" s="189"/>
    </row>
    <row r="150" spans="2:21" s="39" customFormat="1" ht="45" customHeight="1" thickBot="1" x14ac:dyDescent="0.35">
      <c r="B150" s="64" t="s">
        <v>11</v>
      </c>
      <c r="C150" s="65" t="s">
        <v>10</v>
      </c>
      <c r="D150" s="65" t="s">
        <v>170</v>
      </c>
      <c r="E150" s="65" t="s">
        <v>65</v>
      </c>
      <c r="F150" s="65" t="s">
        <v>124</v>
      </c>
      <c r="G150" s="65" t="s">
        <v>74</v>
      </c>
      <c r="H150" s="91" t="s">
        <v>139</v>
      </c>
      <c r="I150" s="91" t="s">
        <v>140</v>
      </c>
      <c r="J150" s="92" t="s">
        <v>127</v>
      </c>
      <c r="N150" s="193"/>
      <c r="O150" s="145"/>
      <c r="P150" s="193"/>
      <c r="Q150" s="145"/>
      <c r="R150" s="193"/>
      <c r="S150" s="145"/>
    </row>
    <row r="151" spans="2:21" ht="10.8" thickBot="1" x14ac:dyDescent="0.35">
      <c r="B151" s="58">
        <v>1</v>
      </c>
      <c r="C151" s="59" t="s">
        <v>12</v>
      </c>
      <c r="D151" s="88">
        <f>D136</f>
        <v>10000</v>
      </c>
      <c r="E151" s="60">
        <f>E136</f>
        <v>0.12790000000000001</v>
      </c>
      <c r="F151" s="45">
        <v>2</v>
      </c>
      <c r="G151" s="46">
        <f>E151+1%</f>
        <v>0.13790000000000002</v>
      </c>
      <c r="H151" s="93">
        <f>F151/12*E151*D151</f>
        <v>213.16666666666669</v>
      </c>
      <c r="I151" s="93">
        <f>(12-F151)/12*G151*D151</f>
        <v>1149.166666666667</v>
      </c>
      <c r="J151" s="115">
        <f>H151+I151</f>
        <v>1362.3333333333337</v>
      </c>
      <c r="K151" s="215"/>
      <c r="N151" s="190"/>
      <c r="O151" s="194"/>
      <c r="P151" s="190"/>
      <c r="Q151" s="194"/>
      <c r="R151" s="190"/>
      <c r="S151" s="195"/>
    </row>
    <row r="152" spans="2:21" x14ac:dyDescent="0.3">
      <c r="B152" s="42">
        <v>2</v>
      </c>
      <c r="C152" s="43" t="s">
        <v>19</v>
      </c>
      <c r="D152" s="86">
        <f>'annuity example'!E13</f>
        <v>112.8993008635867</v>
      </c>
      <c r="E152" s="44">
        <f>$E$137</f>
        <v>0.15</v>
      </c>
      <c r="F152" s="119">
        <v>1</v>
      </c>
      <c r="G152" s="120">
        <f t="shared" ref="G152:G335" si="15">E152+1%</f>
        <v>0.16</v>
      </c>
      <c r="H152" s="121">
        <f t="shared" ref="H152:H335" si="16">F152/12*E152*D152</f>
        <v>1.4112412607948337</v>
      </c>
      <c r="I152" s="121">
        <f t="shared" ref="I152:I335" si="17">(12-F152)/12*G152*D152</f>
        <v>16.558564126659384</v>
      </c>
      <c r="J152" s="122">
        <f t="shared" ref="J152:J335" si="18">H152+I152</f>
        <v>17.969805387454219</v>
      </c>
      <c r="N152" s="190"/>
      <c r="O152" s="194"/>
      <c r="P152" s="190"/>
      <c r="Q152" s="194"/>
      <c r="R152" s="190"/>
      <c r="S152" s="195"/>
    </row>
    <row r="153" spans="2:21" x14ac:dyDescent="0.3">
      <c r="B153" s="47"/>
      <c r="C153" s="13"/>
      <c r="D153" s="16">
        <f>'annuity example'!E14</f>
        <v>114.31054212438153</v>
      </c>
      <c r="E153" s="34">
        <f t="shared" ref="E153:E211" si="19">$E$137</f>
        <v>0.15</v>
      </c>
      <c r="F153" s="11">
        <v>2</v>
      </c>
      <c r="G153" s="61">
        <f t="shared" si="15"/>
        <v>0.16</v>
      </c>
      <c r="H153" s="79">
        <f t="shared" si="16"/>
        <v>2.857763553109538</v>
      </c>
      <c r="I153" s="79">
        <f t="shared" si="17"/>
        <v>15.241405616584203</v>
      </c>
      <c r="J153" s="123">
        <f>H153+I153</f>
        <v>18.099169169693742</v>
      </c>
      <c r="N153" s="190"/>
      <c r="O153" s="194"/>
      <c r="P153" s="190"/>
      <c r="Q153" s="194"/>
      <c r="R153" s="190"/>
      <c r="S153" s="195"/>
    </row>
    <row r="154" spans="2:21" x14ac:dyDescent="0.3">
      <c r="B154" s="47"/>
      <c r="C154" s="13"/>
      <c r="D154" s="16">
        <f>'annuity example'!E15</f>
        <v>115.7394239009363</v>
      </c>
      <c r="E154" s="34">
        <f t="shared" si="19"/>
        <v>0.15</v>
      </c>
      <c r="F154" s="11">
        <f>F153+1</f>
        <v>3</v>
      </c>
      <c r="G154" s="61">
        <f t="shared" si="15"/>
        <v>0.16</v>
      </c>
      <c r="H154" s="79">
        <f t="shared" si="16"/>
        <v>4.3402283962851111</v>
      </c>
      <c r="I154" s="79">
        <f t="shared" si="17"/>
        <v>13.888730868112356</v>
      </c>
      <c r="J154" s="123">
        <f t="shared" si="18"/>
        <v>18.228959264397467</v>
      </c>
      <c r="N154" s="190"/>
      <c r="O154" s="194"/>
      <c r="P154" s="190"/>
      <c r="Q154" s="194"/>
      <c r="R154" s="190"/>
      <c r="S154" s="195"/>
    </row>
    <row r="155" spans="2:21" x14ac:dyDescent="0.3">
      <c r="B155" s="47"/>
      <c r="C155" s="13"/>
      <c r="D155" s="16">
        <f>'annuity example'!E16</f>
        <v>117.18616669969799</v>
      </c>
      <c r="E155" s="34">
        <f t="shared" si="19"/>
        <v>0.15</v>
      </c>
      <c r="F155" s="11">
        <f t="shared" ref="F155:F211" si="20">F154+1</f>
        <v>4</v>
      </c>
      <c r="G155" s="61">
        <f t="shared" si="15"/>
        <v>0.16</v>
      </c>
      <c r="H155" s="79">
        <f t="shared" si="16"/>
        <v>5.8593083349848989</v>
      </c>
      <c r="I155" s="79">
        <f t="shared" si="17"/>
        <v>12.499857781301118</v>
      </c>
      <c r="J155" s="123">
        <f t="shared" si="18"/>
        <v>18.359166116286019</v>
      </c>
      <c r="N155" s="190"/>
      <c r="O155" s="194"/>
      <c r="P155" s="190"/>
      <c r="Q155" s="194"/>
      <c r="R155" s="190"/>
      <c r="S155" s="195"/>
    </row>
    <row r="156" spans="2:21" x14ac:dyDescent="0.3">
      <c r="B156" s="47"/>
      <c r="C156" s="13"/>
      <c r="D156" s="16">
        <f>'annuity example'!E17</f>
        <v>118.65099378344421</v>
      </c>
      <c r="E156" s="34">
        <f t="shared" si="19"/>
        <v>0.15</v>
      </c>
      <c r="F156" s="11">
        <f t="shared" si="20"/>
        <v>5</v>
      </c>
      <c r="G156" s="61">
        <f t="shared" si="15"/>
        <v>0.16</v>
      </c>
      <c r="H156" s="79">
        <f t="shared" si="16"/>
        <v>7.4156871114652629</v>
      </c>
      <c r="I156" s="79">
        <f t="shared" si="17"/>
        <v>11.074092753121461</v>
      </c>
      <c r="J156" s="123">
        <f t="shared" si="18"/>
        <v>18.489779864586723</v>
      </c>
      <c r="N156" s="190"/>
      <c r="O156" s="194"/>
      <c r="P156" s="190"/>
      <c r="Q156" s="194"/>
      <c r="R156" s="190"/>
      <c r="S156" s="195"/>
    </row>
    <row r="157" spans="2:21" x14ac:dyDescent="0.3">
      <c r="B157" s="47"/>
      <c r="C157" s="13"/>
      <c r="D157" s="16">
        <f>'annuity example'!E18</f>
        <v>120.13413120573725</v>
      </c>
      <c r="E157" s="34">
        <f t="shared" si="19"/>
        <v>0.15</v>
      </c>
      <c r="F157" s="11">
        <f t="shared" si="20"/>
        <v>6</v>
      </c>
      <c r="G157" s="61">
        <f t="shared" si="15"/>
        <v>0.16</v>
      </c>
      <c r="H157" s="79">
        <f t="shared" si="16"/>
        <v>9.0100598404302925</v>
      </c>
      <c r="I157" s="79">
        <f t="shared" si="17"/>
        <v>9.6107304964589808</v>
      </c>
      <c r="J157" s="123">
        <f t="shared" si="18"/>
        <v>18.620790336889272</v>
      </c>
      <c r="N157" s="190"/>
      <c r="O157" s="194"/>
      <c r="P157" s="190"/>
      <c r="Q157" s="194"/>
      <c r="R157" s="190"/>
      <c r="S157" s="195"/>
    </row>
    <row r="158" spans="2:21" x14ac:dyDescent="0.3">
      <c r="B158" s="47"/>
      <c r="C158" s="13"/>
      <c r="D158" s="16">
        <f>'annuity example'!E19</f>
        <v>121.63580784580897</v>
      </c>
      <c r="E158" s="34">
        <f t="shared" si="19"/>
        <v>0.15</v>
      </c>
      <c r="F158" s="11">
        <f t="shared" si="20"/>
        <v>7</v>
      </c>
      <c r="G158" s="61">
        <f t="shared" si="15"/>
        <v>0.16</v>
      </c>
      <c r="H158" s="79">
        <f t="shared" si="16"/>
        <v>10.643133186508285</v>
      </c>
      <c r="I158" s="79">
        <f t="shared" si="17"/>
        <v>8.1090538563872645</v>
      </c>
      <c r="J158" s="123">
        <f t="shared" si="18"/>
        <v>18.752187042895549</v>
      </c>
      <c r="N158" s="190"/>
      <c r="O158" s="194"/>
      <c r="P158" s="190"/>
      <c r="Q158" s="194"/>
      <c r="R158" s="190"/>
      <c r="S158" s="195"/>
    </row>
    <row r="159" spans="2:21" x14ac:dyDescent="0.3">
      <c r="B159" s="47"/>
      <c r="C159" s="13"/>
      <c r="D159" s="16">
        <f>'annuity example'!E20</f>
        <v>123.15625544388158</v>
      </c>
      <c r="E159" s="34">
        <f t="shared" si="19"/>
        <v>0.15</v>
      </c>
      <c r="F159" s="11">
        <f t="shared" si="20"/>
        <v>8</v>
      </c>
      <c r="G159" s="61">
        <f t="shared" si="15"/>
        <v>0.16</v>
      </c>
      <c r="H159" s="79">
        <f t="shared" si="16"/>
        <v>12.315625544388157</v>
      </c>
      <c r="I159" s="79">
        <f t="shared" si="17"/>
        <v>6.5683336236736833</v>
      </c>
      <c r="J159" s="123">
        <f t="shared" si="18"/>
        <v>18.883959168061839</v>
      </c>
      <c r="N159" s="190"/>
      <c r="O159" s="194"/>
      <c r="P159" s="190"/>
      <c r="Q159" s="194"/>
      <c r="R159" s="190"/>
      <c r="S159" s="195"/>
    </row>
    <row r="160" spans="2:21" x14ac:dyDescent="0.3">
      <c r="B160" s="47"/>
      <c r="C160" s="13"/>
      <c r="D160" s="16">
        <f>'annuity example'!E21</f>
        <v>124.69570863693011</v>
      </c>
      <c r="E160" s="34">
        <f t="shared" si="19"/>
        <v>0.15</v>
      </c>
      <c r="F160" s="11">
        <f t="shared" si="20"/>
        <v>9</v>
      </c>
      <c r="G160" s="61">
        <f t="shared" si="15"/>
        <v>0.16</v>
      </c>
      <c r="H160" s="79">
        <f t="shared" si="16"/>
        <v>14.028267221654636</v>
      </c>
      <c r="I160" s="79">
        <f t="shared" si="17"/>
        <v>4.9878283454772046</v>
      </c>
      <c r="J160" s="123">
        <f t="shared" si="18"/>
        <v>19.016095567131842</v>
      </c>
      <c r="N160" s="190"/>
      <c r="O160" s="194"/>
      <c r="P160" s="190"/>
      <c r="Q160" s="194"/>
      <c r="R160" s="190"/>
      <c r="S160" s="195"/>
    </row>
    <row r="161" spans="2:19" x14ac:dyDescent="0.3">
      <c r="B161" s="47"/>
      <c r="C161" s="13"/>
      <c r="D161" s="16">
        <f>'annuity example'!E22</f>
        <v>126.25440499489173</v>
      </c>
      <c r="E161" s="34">
        <f t="shared" si="19"/>
        <v>0.15</v>
      </c>
      <c r="F161" s="11">
        <f t="shared" si="20"/>
        <v>10</v>
      </c>
      <c r="G161" s="61">
        <f t="shared" si="15"/>
        <v>0.16</v>
      </c>
      <c r="H161" s="79">
        <f t="shared" si="16"/>
        <v>15.781800624361466</v>
      </c>
      <c r="I161" s="79">
        <f t="shared" si="17"/>
        <v>3.3667841331971124</v>
      </c>
      <c r="J161" s="123">
        <f t="shared" si="18"/>
        <v>19.148584757558577</v>
      </c>
      <c r="N161" s="190"/>
      <c r="O161" s="194"/>
      <c r="P161" s="190"/>
      <c r="Q161" s="194"/>
      <c r="R161" s="190"/>
      <c r="S161" s="195"/>
    </row>
    <row r="162" spans="2:19" x14ac:dyDescent="0.3">
      <c r="B162" s="47"/>
      <c r="C162" s="13"/>
      <c r="D162" s="16">
        <f>'annuity example'!E23</f>
        <v>127.83258505732788</v>
      </c>
      <c r="E162" s="34">
        <f t="shared" si="19"/>
        <v>0.15</v>
      </c>
      <c r="F162" s="11">
        <f t="shared" si="20"/>
        <v>11</v>
      </c>
      <c r="G162" s="61">
        <f t="shared" si="15"/>
        <v>0.16</v>
      </c>
      <c r="H162" s="79">
        <f t="shared" si="16"/>
        <v>17.576980445382581</v>
      </c>
      <c r="I162" s="79">
        <f t="shared" si="17"/>
        <v>1.7044344674310383</v>
      </c>
      <c r="J162" s="123">
        <f t="shared" si="18"/>
        <v>19.28141491281362</v>
      </c>
      <c r="N162" s="190"/>
      <c r="O162" s="194"/>
      <c r="P162" s="190"/>
      <c r="Q162" s="194"/>
      <c r="R162" s="190"/>
      <c r="S162" s="195"/>
    </row>
    <row r="163" spans="2:19" x14ac:dyDescent="0.3">
      <c r="B163" s="47"/>
      <c r="C163" s="13"/>
      <c r="D163" s="16">
        <f>'annuity example'!E24</f>
        <v>129.43049237054447</v>
      </c>
      <c r="E163" s="34">
        <f t="shared" si="19"/>
        <v>0.15</v>
      </c>
      <c r="F163" s="11">
        <f t="shared" si="20"/>
        <v>12</v>
      </c>
      <c r="G163" s="61">
        <f t="shared" si="15"/>
        <v>0.16</v>
      </c>
      <c r="H163" s="79">
        <f t="shared" si="16"/>
        <v>19.414573855581668</v>
      </c>
      <c r="I163" s="79">
        <f t="shared" si="17"/>
        <v>0</v>
      </c>
      <c r="J163" s="123">
        <f t="shared" si="18"/>
        <v>19.414573855581668</v>
      </c>
      <c r="N163" s="190"/>
      <c r="O163" s="194"/>
      <c r="P163" s="190"/>
      <c r="Q163" s="194"/>
      <c r="R163" s="190"/>
      <c r="S163" s="195"/>
    </row>
    <row r="164" spans="2:19" x14ac:dyDescent="0.3">
      <c r="B164" s="47"/>
      <c r="C164" s="13"/>
      <c r="D164" s="16">
        <f>'annuity example'!E25</f>
        <v>131.04837352517626</v>
      </c>
      <c r="E164" s="34">
        <f t="shared" si="19"/>
        <v>0.15</v>
      </c>
      <c r="F164" s="11">
        <f t="shared" si="20"/>
        <v>13</v>
      </c>
      <c r="G164" s="116" t="s">
        <v>76</v>
      </c>
      <c r="H164" s="118"/>
      <c r="I164" s="118"/>
      <c r="J164" s="124">
        <f>D164*E164</f>
        <v>19.657256028776438</v>
      </c>
      <c r="N164" s="190"/>
      <c r="O164" s="194"/>
      <c r="P164" s="190"/>
      <c r="Q164" s="194"/>
      <c r="R164" s="190"/>
      <c r="S164" s="195"/>
    </row>
    <row r="165" spans="2:19" outlineLevel="1" x14ac:dyDescent="0.3">
      <c r="B165" s="47"/>
      <c r="C165" s="13"/>
      <c r="D165" s="16">
        <f>'annuity example'!E26</f>
        <v>132.68647819424098</v>
      </c>
      <c r="E165" s="34">
        <f t="shared" si="19"/>
        <v>0.15</v>
      </c>
      <c r="F165" s="11">
        <f t="shared" si="20"/>
        <v>14</v>
      </c>
      <c r="G165" s="117"/>
      <c r="H165" s="118"/>
      <c r="I165" s="118"/>
      <c r="J165" s="124">
        <f t="shared" ref="J165:J211" si="21">D165*E165</f>
        <v>19.902971729136144</v>
      </c>
      <c r="N165" s="190"/>
      <c r="O165" s="194"/>
      <c r="P165" s="190"/>
      <c r="Q165" s="194"/>
      <c r="R165" s="190"/>
      <c r="S165" s="195"/>
    </row>
    <row r="166" spans="2:19" outlineLevel="1" x14ac:dyDescent="0.3">
      <c r="B166" s="47"/>
      <c r="C166" s="13"/>
      <c r="D166" s="16">
        <f>'annuity example'!E27</f>
        <v>134.34505917166899</v>
      </c>
      <c r="E166" s="34">
        <f t="shared" si="19"/>
        <v>0.15</v>
      </c>
      <c r="F166" s="11">
        <f t="shared" si="20"/>
        <v>15</v>
      </c>
      <c r="G166" s="117"/>
      <c r="H166" s="118"/>
      <c r="I166" s="118"/>
      <c r="J166" s="124">
        <f t="shared" si="21"/>
        <v>20.15175887575035</v>
      </c>
      <c r="N166" s="190"/>
      <c r="O166" s="194"/>
      <c r="P166" s="190"/>
      <c r="Q166" s="194"/>
      <c r="R166" s="190"/>
      <c r="S166" s="195"/>
    </row>
    <row r="167" spans="2:19" outlineLevel="1" x14ac:dyDescent="0.3">
      <c r="B167" s="47"/>
      <c r="C167" s="13"/>
      <c r="D167" s="16">
        <f>'annuity example'!E28</f>
        <v>136.02437241131486</v>
      </c>
      <c r="E167" s="34">
        <f t="shared" si="19"/>
        <v>0.15</v>
      </c>
      <c r="F167" s="11">
        <f t="shared" si="20"/>
        <v>16</v>
      </c>
      <c r="G167" s="117"/>
      <c r="H167" s="118"/>
      <c r="I167" s="118"/>
      <c r="J167" s="124">
        <f t="shared" si="21"/>
        <v>20.403655861697228</v>
      </c>
      <c r="N167" s="190"/>
      <c r="O167" s="194"/>
      <c r="P167" s="190"/>
      <c r="Q167" s="194"/>
      <c r="R167" s="190"/>
      <c r="S167" s="195"/>
    </row>
    <row r="168" spans="2:19" outlineLevel="1" x14ac:dyDescent="0.3">
      <c r="B168" s="47"/>
      <c r="C168" s="13"/>
      <c r="D168" s="16">
        <f>'annuity example'!E29</f>
        <v>137.72467706645628</v>
      </c>
      <c r="E168" s="34">
        <f t="shared" si="19"/>
        <v>0.15</v>
      </c>
      <c r="F168" s="11">
        <f t="shared" si="20"/>
        <v>17</v>
      </c>
      <c r="G168" s="117"/>
      <c r="H168" s="118"/>
      <c r="I168" s="118"/>
      <c r="J168" s="124">
        <f t="shared" si="21"/>
        <v>20.658701559968442</v>
      </c>
      <c r="N168" s="190"/>
      <c r="O168" s="194"/>
      <c r="P168" s="190"/>
      <c r="Q168" s="194"/>
      <c r="R168" s="190"/>
      <c r="S168" s="195"/>
    </row>
    <row r="169" spans="2:19" outlineLevel="1" x14ac:dyDescent="0.3">
      <c r="B169" s="47"/>
      <c r="C169" s="13"/>
      <c r="D169" s="16">
        <f>'annuity example'!E30</f>
        <v>139.44623552978697</v>
      </c>
      <c r="E169" s="34">
        <f t="shared" si="19"/>
        <v>0.15</v>
      </c>
      <c r="F169" s="11">
        <f t="shared" si="20"/>
        <v>18</v>
      </c>
      <c r="G169" s="117"/>
      <c r="H169" s="118"/>
      <c r="I169" s="118"/>
      <c r="J169" s="124">
        <f t="shared" si="21"/>
        <v>20.916935329468046</v>
      </c>
      <c r="N169" s="190"/>
      <c r="O169" s="194"/>
      <c r="P169" s="190"/>
      <c r="Q169" s="194"/>
      <c r="R169" s="190"/>
      <c r="S169" s="195"/>
    </row>
    <row r="170" spans="2:19" outlineLevel="1" x14ac:dyDescent="0.3">
      <c r="B170" s="47"/>
      <c r="C170" s="13"/>
      <c r="D170" s="16">
        <f>'annuity example'!E31</f>
        <v>141.18931347390932</v>
      </c>
      <c r="E170" s="34">
        <f t="shared" si="19"/>
        <v>0.15</v>
      </c>
      <c r="F170" s="11">
        <f t="shared" si="20"/>
        <v>19</v>
      </c>
      <c r="G170" s="117"/>
      <c r="H170" s="118"/>
      <c r="I170" s="118"/>
      <c r="J170" s="124">
        <f t="shared" si="21"/>
        <v>21.178397021086397</v>
      </c>
      <c r="N170" s="190"/>
      <c r="O170" s="194"/>
      <c r="P170" s="190"/>
      <c r="Q170" s="194"/>
      <c r="R170" s="190"/>
      <c r="S170" s="195"/>
    </row>
    <row r="171" spans="2:19" outlineLevel="1" x14ac:dyDescent="0.3">
      <c r="B171" s="47"/>
      <c r="C171" s="13"/>
      <c r="D171" s="16">
        <f>'annuity example'!E32</f>
        <v>142.95417989233317</v>
      </c>
      <c r="E171" s="34">
        <f t="shared" si="19"/>
        <v>0.15</v>
      </c>
      <c r="F171" s="11">
        <f t="shared" si="20"/>
        <v>20</v>
      </c>
      <c r="G171" s="117"/>
      <c r="H171" s="118"/>
      <c r="I171" s="118"/>
      <c r="J171" s="124">
        <f t="shared" si="21"/>
        <v>21.443126983849975</v>
      </c>
      <c r="N171" s="190"/>
      <c r="O171" s="194"/>
      <c r="P171" s="190"/>
      <c r="Q171" s="194"/>
      <c r="R171" s="190"/>
      <c r="S171" s="195"/>
    </row>
    <row r="172" spans="2:19" outlineLevel="1" x14ac:dyDescent="0.3">
      <c r="B172" s="47"/>
      <c r="C172" s="13"/>
      <c r="D172" s="16">
        <f>'annuity example'!E33</f>
        <v>144.74110714098737</v>
      </c>
      <c r="E172" s="34">
        <f t="shared" si="19"/>
        <v>0.15</v>
      </c>
      <c r="F172" s="11">
        <f t="shared" si="20"/>
        <v>21</v>
      </c>
      <c r="G172" s="117"/>
      <c r="H172" s="118"/>
      <c r="I172" s="118"/>
      <c r="J172" s="124">
        <f t="shared" si="21"/>
        <v>21.711166071148103</v>
      </c>
      <c r="N172" s="190"/>
      <c r="O172" s="194"/>
      <c r="P172" s="190"/>
      <c r="Q172" s="194"/>
      <c r="R172" s="190"/>
      <c r="S172" s="195"/>
    </row>
    <row r="173" spans="2:19" outlineLevel="1" x14ac:dyDescent="0.3">
      <c r="B173" s="47"/>
      <c r="C173" s="13"/>
      <c r="D173" s="16">
        <f>'annuity example'!E34</f>
        <v>146.55037098024968</v>
      </c>
      <c r="E173" s="34">
        <f t="shared" si="19"/>
        <v>0.15</v>
      </c>
      <c r="F173" s="11">
        <f t="shared" si="20"/>
        <v>22</v>
      </c>
      <c r="G173" s="117"/>
      <c r="H173" s="118"/>
      <c r="I173" s="118"/>
      <c r="J173" s="124">
        <f t="shared" si="21"/>
        <v>21.982555647037451</v>
      </c>
      <c r="N173" s="190"/>
      <c r="O173" s="194"/>
      <c r="P173" s="190"/>
      <c r="Q173" s="194"/>
      <c r="R173" s="190"/>
      <c r="S173" s="195"/>
    </row>
    <row r="174" spans="2:19" outlineLevel="1" x14ac:dyDescent="0.3">
      <c r="B174" s="47"/>
      <c r="C174" s="13"/>
      <c r="D174" s="16">
        <f>'annuity example'!E35</f>
        <v>148.38225061750279</v>
      </c>
      <c r="E174" s="34">
        <f t="shared" si="19"/>
        <v>0.15</v>
      </c>
      <c r="F174" s="11">
        <f t="shared" si="20"/>
        <v>23</v>
      </c>
      <c r="G174" s="117"/>
      <c r="H174" s="118"/>
      <c r="I174" s="118"/>
      <c r="J174" s="124">
        <f t="shared" si="21"/>
        <v>22.257337592625419</v>
      </c>
      <c r="N174" s="190"/>
      <c r="O174" s="194"/>
      <c r="P174" s="190"/>
      <c r="Q174" s="194"/>
      <c r="R174" s="190"/>
      <c r="S174" s="195"/>
    </row>
    <row r="175" spans="2:19" outlineLevel="1" x14ac:dyDescent="0.3">
      <c r="B175" s="47"/>
      <c r="C175" s="13"/>
      <c r="D175" s="16">
        <f>'annuity example'!E36</f>
        <v>150.23702875022161</v>
      </c>
      <c r="E175" s="34">
        <f t="shared" si="19"/>
        <v>0.15</v>
      </c>
      <c r="F175" s="11">
        <f t="shared" si="20"/>
        <v>24</v>
      </c>
      <c r="G175" s="117"/>
      <c r="H175" s="118"/>
      <c r="I175" s="118"/>
      <c r="J175" s="124">
        <f t="shared" si="21"/>
        <v>22.53555431253324</v>
      </c>
      <c r="N175" s="190"/>
      <c r="O175" s="194"/>
      <c r="P175" s="190"/>
      <c r="Q175" s="194"/>
      <c r="R175" s="190"/>
      <c r="S175" s="195"/>
    </row>
    <row r="176" spans="2:19" outlineLevel="1" x14ac:dyDescent="0.3">
      <c r="B176" s="47"/>
      <c r="C176" s="13"/>
      <c r="D176" s="16">
        <f>'annuity example'!E37</f>
        <v>152.11499160959937</v>
      </c>
      <c r="E176" s="34">
        <f t="shared" si="19"/>
        <v>0.15</v>
      </c>
      <c r="F176" s="11">
        <f t="shared" si="20"/>
        <v>25</v>
      </c>
      <c r="G176" s="117"/>
      <c r="H176" s="118"/>
      <c r="I176" s="118"/>
      <c r="J176" s="124">
        <f t="shared" si="21"/>
        <v>22.817248741439904</v>
      </c>
      <c r="N176" s="190"/>
      <c r="O176" s="194"/>
      <c r="P176" s="190"/>
      <c r="Q176" s="194"/>
      <c r="R176" s="190"/>
      <c r="S176" s="195"/>
    </row>
    <row r="177" spans="2:19" outlineLevel="1" x14ac:dyDescent="0.3">
      <c r="B177" s="47"/>
      <c r="C177" s="13"/>
      <c r="D177" s="16">
        <f>'annuity example'!E38</f>
        <v>154.01642900471936</v>
      </c>
      <c r="E177" s="34">
        <f t="shared" si="19"/>
        <v>0.15</v>
      </c>
      <c r="F177" s="11">
        <f t="shared" si="20"/>
        <v>26</v>
      </c>
      <c r="G177" s="117"/>
      <c r="H177" s="118"/>
      <c r="I177" s="118"/>
      <c r="J177" s="124">
        <f t="shared" si="21"/>
        <v>23.102464350707901</v>
      </c>
      <c r="N177" s="190"/>
      <c r="O177" s="194"/>
      <c r="P177" s="190"/>
      <c r="Q177" s="194"/>
      <c r="R177" s="190"/>
      <c r="S177" s="195"/>
    </row>
    <row r="178" spans="2:19" outlineLevel="1" x14ac:dyDescent="0.3">
      <c r="B178" s="47"/>
      <c r="C178" s="13"/>
      <c r="D178" s="16">
        <f>'annuity example'!E39</f>
        <v>155.94163436727837</v>
      </c>
      <c r="E178" s="34">
        <f t="shared" si="19"/>
        <v>0.15</v>
      </c>
      <c r="F178" s="11">
        <f t="shared" si="20"/>
        <v>27</v>
      </c>
      <c r="G178" s="117"/>
      <c r="H178" s="118"/>
      <c r="I178" s="118"/>
      <c r="J178" s="124">
        <f t="shared" si="21"/>
        <v>23.391245155091756</v>
      </c>
      <c r="N178" s="190"/>
      <c r="O178" s="194"/>
      <c r="P178" s="190"/>
      <c r="Q178" s="194"/>
      <c r="R178" s="190"/>
      <c r="S178" s="195"/>
    </row>
    <row r="179" spans="2:19" outlineLevel="1" x14ac:dyDescent="0.3">
      <c r="B179" s="47"/>
      <c r="C179" s="13"/>
      <c r="D179" s="16">
        <f>'annuity example'!E40</f>
        <v>157.89090479686934</v>
      </c>
      <c r="E179" s="34">
        <f t="shared" si="19"/>
        <v>0.15</v>
      </c>
      <c r="F179" s="11">
        <f t="shared" si="20"/>
        <v>28</v>
      </c>
      <c r="G179" s="117"/>
      <c r="H179" s="118"/>
      <c r="I179" s="118"/>
      <c r="J179" s="124">
        <f t="shared" si="21"/>
        <v>23.6836357195304</v>
      </c>
      <c r="N179" s="190"/>
      <c r="O179" s="194"/>
      <c r="P179" s="190"/>
      <c r="Q179" s="194"/>
      <c r="R179" s="190"/>
      <c r="S179" s="195"/>
    </row>
    <row r="180" spans="2:19" outlineLevel="1" x14ac:dyDescent="0.3">
      <c r="B180" s="47"/>
      <c r="C180" s="13"/>
      <c r="D180" s="16">
        <f>'annuity example'!E41</f>
        <v>159.86454110683019</v>
      </c>
      <c r="E180" s="34">
        <f t="shared" si="19"/>
        <v>0.15</v>
      </c>
      <c r="F180" s="11">
        <f t="shared" si="20"/>
        <v>29</v>
      </c>
      <c r="G180" s="117"/>
      <c r="H180" s="118"/>
      <c r="I180" s="118"/>
      <c r="J180" s="124">
        <f t="shared" si="21"/>
        <v>23.979681166024527</v>
      </c>
      <c r="N180" s="190"/>
      <c r="O180" s="194"/>
      <c r="P180" s="190"/>
      <c r="Q180" s="194"/>
      <c r="R180" s="190"/>
      <c r="S180" s="195"/>
    </row>
    <row r="181" spans="2:19" outlineLevel="1" x14ac:dyDescent="0.3">
      <c r="B181" s="47"/>
      <c r="C181" s="13"/>
      <c r="D181" s="16">
        <f>'annuity example'!E42</f>
        <v>161.86284787066558</v>
      </c>
      <c r="E181" s="34">
        <f t="shared" si="19"/>
        <v>0.15</v>
      </c>
      <c r="F181" s="11">
        <f t="shared" si="20"/>
        <v>30</v>
      </c>
      <c r="G181" s="117"/>
      <c r="H181" s="118"/>
      <c r="I181" s="118"/>
      <c r="J181" s="124">
        <f t="shared" si="21"/>
        <v>24.279427180599836</v>
      </c>
      <c r="N181" s="190"/>
      <c r="O181" s="194"/>
      <c r="P181" s="190"/>
      <c r="Q181" s="194"/>
      <c r="R181" s="190"/>
      <c r="S181" s="195"/>
    </row>
    <row r="182" spans="2:19" outlineLevel="1" x14ac:dyDescent="0.3">
      <c r="B182" s="47"/>
      <c r="C182" s="13"/>
      <c r="D182" s="16">
        <f>'annuity example'!E43</f>
        <v>163.8861334690489</v>
      </c>
      <c r="E182" s="34">
        <f t="shared" si="19"/>
        <v>0.15</v>
      </c>
      <c r="F182" s="11">
        <f t="shared" si="20"/>
        <v>31</v>
      </c>
      <c r="G182" s="117"/>
      <c r="H182" s="118"/>
      <c r="I182" s="118"/>
      <c r="J182" s="124">
        <f t="shared" si="21"/>
        <v>24.582920020357335</v>
      </c>
      <c r="N182" s="190"/>
      <c r="O182" s="194"/>
      <c r="P182" s="190"/>
      <c r="Q182" s="194"/>
      <c r="R182" s="190"/>
      <c r="S182" s="195"/>
    </row>
    <row r="183" spans="2:19" outlineLevel="1" x14ac:dyDescent="0.3">
      <c r="B183" s="47"/>
      <c r="C183" s="13"/>
      <c r="D183" s="16">
        <f>'annuity example'!E44</f>
        <v>165.93471013741203</v>
      </c>
      <c r="E183" s="34">
        <f t="shared" si="19"/>
        <v>0.15</v>
      </c>
      <c r="F183" s="11">
        <f t="shared" si="20"/>
        <v>32</v>
      </c>
      <c r="G183" s="117"/>
      <c r="H183" s="118"/>
      <c r="I183" s="118"/>
      <c r="J183" s="124">
        <f t="shared" si="21"/>
        <v>24.890206520611802</v>
      </c>
      <c r="N183" s="190"/>
      <c r="O183" s="194"/>
      <c r="P183" s="190"/>
      <c r="Q183" s="194"/>
      <c r="R183" s="190"/>
      <c r="S183" s="195"/>
    </row>
    <row r="184" spans="2:19" outlineLevel="1" x14ac:dyDescent="0.3">
      <c r="B184" s="47"/>
      <c r="C184" s="13"/>
      <c r="D184" s="16">
        <f>'annuity example'!E45</f>
        <v>168.00889401412968</v>
      </c>
      <c r="E184" s="34">
        <f t="shared" si="19"/>
        <v>0.15</v>
      </c>
      <c r="F184" s="11">
        <f t="shared" si="20"/>
        <v>33</v>
      </c>
      <c r="G184" s="117"/>
      <c r="H184" s="118"/>
      <c r="I184" s="118"/>
      <c r="J184" s="124">
        <f t="shared" si="21"/>
        <v>25.20133410211945</v>
      </c>
      <c r="N184" s="190"/>
      <c r="O184" s="194"/>
      <c r="P184" s="190"/>
      <c r="Q184" s="194"/>
      <c r="R184" s="190"/>
      <c r="S184" s="195"/>
    </row>
    <row r="185" spans="2:19" outlineLevel="1" x14ac:dyDescent="0.3">
      <c r="B185" s="47"/>
      <c r="C185" s="13"/>
      <c r="D185" s="16">
        <f>'annuity example'!E46</f>
        <v>170.10900518930629</v>
      </c>
      <c r="E185" s="34">
        <f t="shared" si="19"/>
        <v>0.15</v>
      </c>
      <c r="F185" s="11">
        <f t="shared" si="20"/>
        <v>34</v>
      </c>
      <c r="G185" s="117"/>
      <c r="H185" s="118"/>
      <c r="I185" s="118"/>
      <c r="J185" s="124">
        <f t="shared" si="21"/>
        <v>25.516350778395942</v>
      </c>
      <c r="N185" s="190"/>
      <c r="O185" s="194"/>
      <c r="P185" s="190"/>
      <c r="Q185" s="194"/>
      <c r="R185" s="190"/>
      <c r="S185" s="195"/>
    </row>
    <row r="186" spans="2:19" outlineLevel="1" x14ac:dyDescent="0.3">
      <c r="B186" s="47"/>
      <c r="C186" s="13"/>
      <c r="D186" s="16">
        <f>'annuity example'!E47</f>
        <v>172.23536775417261</v>
      </c>
      <c r="E186" s="34">
        <f t="shared" si="19"/>
        <v>0.15</v>
      </c>
      <c r="F186" s="11">
        <f t="shared" si="20"/>
        <v>35</v>
      </c>
      <c r="G186" s="117"/>
      <c r="H186" s="118"/>
      <c r="I186" s="118"/>
      <c r="J186" s="124">
        <f t="shared" si="21"/>
        <v>25.835305163125891</v>
      </c>
      <c r="N186" s="190"/>
      <c r="O186" s="194"/>
      <c r="P186" s="190"/>
      <c r="Q186" s="194"/>
      <c r="R186" s="190"/>
      <c r="S186" s="195"/>
    </row>
    <row r="187" spans="2:19" outlineLevel="1" x14ac:dyDescent="0.3">
      <c r="B187" s="47"/>
      <c r="C187" s="13"/>
      <c r="D187" s="16">
        <f>'annuity example'!E48</f>
        <v>174.38830985109976</v>
      </c>
      <c r="E187" s="34">
        <f t="shared" si="19"/>
        <v>0.15</v>
      </c>
      <c r="F187" s="11">
        <f t="shared" si="20"/>
        <v>36</v>
      </c>
      <c r="G187" s="117"/>
      <c r="H187" s="118"/>
      <c r="I187" s="118"/>
      <c r="J187" s="124">
        <f t="shared" si="21"/>
        <v>26.158246477664964</v>
      </c>
      <c r="N187" s="190"/>
      <c r="O187" s="194"/>
      <c r="P187" s="190"/>
      <c r="Q187" s="194"/>
      <c r="R187" s="190"/>
      <c r="S187" s="195"/>
    </row>
    <row r="188" spans="2:19" outlineLevel="1" x14ac:dyDescent="0.3">
      <c r="B188" s="47"/>
      <c r="C188" s="13"/>
      <c r="D188" s="16">
        <f>'annuity example'!E49</f>
        <v>176.5681637242385</v>
      </c>
      <c r="E188" s="34">
        <f t="shared" si="19"/>
        <v>0.15</v>
      </c>
      <c r="F188" s="11">
        <f t="shared" si="20"/>
        <v>37</v>
      </c>
      <c r="G188" s="117"/>
      <c r="H188" s="118"/>
      <c r="I188" s="118"/>
      <c r="J188" s="124">
        <f t="shared" si="21"/>
        <v>26.485224558635775</v>
      </c>
      <c r="N188" s="190"/>
      <c r="O188" s="194"/>
      <c r="P188" s="190"/>
      <c r="Q188" s="194"/>
      <c r="R188" s="190"/>
      <c r="S188" s="195"/>
    </row>
    <row r="189" spans="2:19" outlineLevel="1" x14ac:dyDescent="0.3">
      <c r="B189" s="47"/>
      <c r="C189" s="13"/>
      <c r="D189" s="16">
        <f>'annuity example'!E50</f>
        <v>178.77526577079149</v>
      </c>
      <c r="E189" s="34">
        <f t="shared" si="19"/>
        <v>0.15</v>
      </c>
      <c r="F189" s="11">
        <f t="shared" si="20"/>
        <v>38</v>
      </c>
      <c r="G189" s="117"/>
      <c r="H189" s="118"/>
      <c r="I189" s="118"/>
      <c r="J189" s="124">
        <f t="shared" si="21"/>
        <v>26.816289865618725</v>
      </c>
      <c r="N189" s="190"/>
      <c r="O189" s="194"/>
      <c r="P189" s="190"/>
      <c r="Q189" s="194"/>
      <c r="R189" s="190"/>
      <c r="S189" s="195"/>
    </row>
    <row r="190" spans="2:19" outlineLevel="1" x14ac:dyDescent="0.3">
      <c r="B190" s="47"/>
      <c r="C190" s="13"/>
      <c r="D190" s="16">
        <f>'annuity example'!E51</f>
        <v>181.00995659292639</v>
      </c>
      <c r="E190" s="34">
        <f t="shared" si="19"/>
        <v>0.15</v>
      </c>
      <c r="F190" s="11">
        <f t="shared" si="20"/>
        <v>39</v>
      </c>
      <c r="G190" s="117"/>
      <c r="H190" s="118"/>
      <c r="I190" s="118"/>
      <c r="J190" s="124">
        <f t="shared" si="21"/>
        <v>27.151493488938957</v>
      </c>
      <c r="N190" s="190"/>
      <c r="O190" s="194"/>
      <c r="P190" s="190"/>
      <c r="Q190" s="194"/>
      <c r="R190" s="190"/>
      <c r="S190" s="195"/>
    </row>
    <row r="191" spans="2:19" outlineLevel="1" x14ac:dyDescent="0.3">
      <c r="B191" s="47"/>
      <c r="C191" s="13"/>
      <c r="D191" s="16">
        <f>'annuity example'!E52</f>
        <v>183.27258105033798</v>
      </c>
      <c r="E191" s="34">
        <f t="shared" si="19"/>
        <v>0.15</v>
      </c>
      <c r="F191" s="11">
        <f t="shared" si="20"/>
        <v>40</v>
      </c>
      <c r="G191" s="117"/>
      <c r="H191" s="118"/>
      <c r="I191" s="118"/>
      <c r="J191" s="124">
        <f t="shared" si="21"/>
        <v>27.490887157550695</v>
      </c>
      <c r="N191" s="190"/>
      <c r="O191" s="194"/>
      <c r="P191" s="190"/>
      <c r="Q191" s="194"/>
      <c r="R191" s="190"/>
      <c r="S191" s="195"/>
    </row>
    <row r="192" spans="2:19" outlineLevel="1" x14ac:dyDescent="0.3">
      <c r="B192" s="47"/>
      <c r="C192" s="13"/>
      <c r="D192" s="16">
        <f>'annuity example'!E53</f>
        <v>185.56348831346719</v>
      </c>
      <c r="E192" s="34">
        <f t="shared" si="19"/>
        <v>0.15</v>
      </c>
      <c r="F192" s="11">
        <f t="shared" si="20"/>
        <v>41</v>
      </c>
      <c r="G192" s="117"/>
      <c r="H192" s="118"/>
      <c r="I192" s="118"/>
      <c r="J192" s="124">
        <f t="shared" si="21"/>
        <v>27.834523247020076</v>
      </c>
      <c r="N192" s="190"/>
      <c r="O192" s="194"/>
      <c r="P192" s="190"/>
      <c r="Q192" s="194"/>
      <c r="R192" s="190"/>
      <c r="S192" s="195"/>
    </row>
    <row r="193" spans="2:19" outlineLevel="1" x14ac:dyDescent="0.3">
      <c r="B193" s="47"/>
      <c r="C193" s="13"/>
      <c r="D193" s="16">
        <f>'annuity example'!E54</f>
        <v>187.88303191738552</v>
      </c>
      <c r="E193" s="34">
        <f t="shared" si="19"/>
        <v>0.15</v>
      </c>
      <c r="F193" s="11">
        <f t="shared" si="20"/>
        <v>42</v>
      </c>
      <c r="G193" s="117"/>
      <c r="H193" s="118"/>
      <c r="I193" s="118"/>
      <c r="J193" s="124">
        <f t="shared" si="21"/>
        <v>28.182454787607828</v>
      </c>
      <c r="N193" s="190"/>
      <c r="O193" s="194"/>
      <c r="P193" s="190"/>
      <c r="Q193" s="194"/>
      <c r="R193" s="190"/>
      <c r="S193" s="195"/>
    </row>
    <row r="194" spans="2:19" outlineLevel="1" x14ac:dyDescent="0.3">
      <c r="B194" s="47"/>
      <c r="C194" s="13"/>
      <c r="D194" s="16">
        <f>'annuity example'!E55</f>
        <v>190.23156981635285</v>
      </c>
      <c r="E194" s="34">
        <f t="shared" si="19"/>
        <v>0.15</v>
      </c>
      <c r="F194" s="11">
        <f t="shared" si="20"/>
        <v>43</v>
      </c>
      <c r="G194" s="117"/>
      <c r="H194" s="118"/>
      <c r="I194" s="118"/>
      <c r="J194" s="124">
        <f t="shared" si="21"/>
        <v>28.534735472452926</v>
      </c>
      <c r="N194" s="190"/>
      <c r="O194" s="194"/>
      <c r="P194" s="190"/>
      <c r="Q194" s="194"/>
      <c r="R194" s="190"/>
      <c r="S194" s="195"/>
    </row>
    <row r="195" spans="2:19" outlineLevel="1" x14ac:dyDescent="0.3">
      <c r="B195" s="47"/>
      <c r="C195" s="13"/>
      <c r="D195" s="16">
        <f>'annuity example'!E56</f>
        <v>192.60946443905726</v>
      </c>
      <c r="E195" s="34">
        <f t="shared" si="19"/>
        <v>0.15</v>
      </c>
      <c r="F195" s="11">
        <f t="shared" si="20"/>
        <v>44</v>
      </c>
      <c r="G195" s="117"/>
      <c r="H195" s="118"/>
      <c r="I195" s="118"/>
      <c r="J195" s="124">
        <f t="shared" si="21"/>
        <v>28.891419665858589</v>
      </c>
      <c r="N195" s="190"/>
      <c r="O195" s="194"/>
      <c r="P195" s="190"/>
      <c r="Q195" s="194"/>
      <c r="R195" s="190"/>
      <c r="S195" s="195"/>
    </row>
    <row r="196" spans="2:19" outlineLevel="1" x14ac:dyDescent="0.3">
      <c r="B196" s="47"/>
      <c r="C196" s="13"/>
      <c r="D196" s="16">
        <f>'annuity example'!E57</f>
        <v>195.01708274454546</v>
      </c>
      <c r="E196" s="34">
        <f t="shared" si="19"/>
        <v>0.15</v>
      </c>
      <c r="F196" s="11">
        <f t="shared" si="20"/>
        <v>45</v>
      </c>
      <c r="G196" s="117"/>
      <c r="H196" s="118"/>
      <c r="I196" s="118"/>
      <c r="J196" s="124">
        <f t="shared" si="21"/>
        <v>29.252562411681819</v>
      </c>
      <c r="N196" s="190"/>
      <c r="O196" s="194"/>
      <c r="P196" s="190"/>
      <c r="Q196" s="194"/>
      <c r="R196" s="190"/>
      <c r="S196" s="195"/>
    </row>
    <row r="197" spans="2:19" outlineLevel="1" x14ac:dyDescent="0.3">
      <c r="B197" s="47"/>
      <c r="C197" s="13"/>
      <c r="D197" s="16">
        <f>'annuity example'!E58</f>
        <v>197.45479627885229</v>
      </c>
      <c r="E197" s="34">
        <f t="shared" si="19"/>
        <v>0.15</v>
      </c>
      <c r="F197" s="11">
        <f t="shared" si="20"/>
        <v>46</v>
      </c>
      <c r="G197" s="117"/>
      <c r="H197" s="118"/>
      <c r="I197" s="118"/>
      <c r="J197" s="124">
        <f t="shared" si="21"/>
        <v>29.61821944182784</v>
      </c>
      <c r="N197" s="190"/>
      <c r="O197" s="194"/>
      <c r="P197" s="190"/>
      <c r="Q197" s="194"/>
      <c r="R197" s="190"/>
      <c r="S197" s="195"/>
    </row>
    <row r="198" spans="2:19" outlineLevel="1" x14ac:dyDescent="0.3">
      <c r="B198" s="47"/>
      <c r="C198" s="13"/>
      <c r="D198" s="16">
        <f>'annuity example'!E59</f>
        <v>199.92298123233795</v>
      </c>
      <c r="E198" s="34">
        <f t="shared" si="19"/>
        <v>0.15</v>
      </c>
      <c r="F198" s="11">
        <f t="shared" si="20"/>
        <v>47</v>
      </c>
      <c r="G198" s="117"/>
      <c r="H198" s="118"/>
      <c r="I198" s="118"/>
      <c r="J198" s="124">
        <f t="shared" si="21"/>
        <v>29.988447184850692</v>
      </c>
      <c r="N198" s="190"/>
      <c r="O198" s="194"/>
      <c r="P198" s="190"/>
      <c r="Q198" s="194"/>
      <c r="R198" s="190"/>
      <c r="S198" s="195"/>
    </row>
    <row r="199" spans="2:19" outlineLevel="1" x14ac:dyDescent="0.3">
      <c r="B199" s="47"/>
      <c r="C199" s="13"/>
      <c r="D199" s="16">
        <f>'annuity example'!E60</f>
        <v>202.42201849774216</v>
      </c>
      <c r="E199" s="34">
        <f t="shared" si="19"/>
        <v>0.15</v>
      </c>
      <c r="F199" s="11">
        <f t="shared" si="20"/>
        <v>48</v>
      </c>
      <c r="G199" s="117"/>
      <c r="H199" s="118"/>
      <c r="I199" s="118"/>
      <c r="J199" s="124">
        <f t="shared" si="21"/>
        <v>30.363302774661321</v>
      </c>
      <c r="N199" s="190"/>
      <c r="O199" s="194"/>
      <c r="P199" s="190"/>
      <c r="Q199" s="194"/>
      <c r="R199" s="190"/>
      <c r="S199" s="195"/>
    </row>
    <row r="200" spans="2:19" outlineLevel="1" x14ac:dyDescent="0.3">
      <c r="B200" s="47"/>
      <c r="C200" s="13"/>
      <c r="D200" s="16">
        <f>'annuity example'!E61</f>
        <v>204.95229372896395</v>
      </c>
      <c r="E200" s="34">
        <f t="shared" si="19"/>
        <v>0.15</v>
      </c>
      <c r="F200" s="11">
        <f t="shared" si="20"/>
        <v>49</v>
      </c>
      <c r="G200" s="117"/>
      <c r="H200" s="118"/>
      <c r="I200" s="118"/>
      <c r="J200" s="124">
        <f t="shared" si="21"/>
        <v>30.742844059344591</v>
      </c>
      <c r="N200" s="190"/>
      <c r="O200" s="194"/>
      <c r="P200" s="190"/>
      <c r="Q200" s="194"/>
      <c r="R200" s="190"/>
      <c r="S200" s="195"/>
    </row>
    <row r="201" spans="2:19" outlineLevel="1" x14ac:dyDescent="0.3">
      <c r="B201" s="47"/>
      <c r="C201" s="13"/>
      <c r="D201" s="16">
        <f>'annuity example'!E62</f>
        <v>207.51419740057599</v>
      </c>
      <c r="E201" s="34">
        <f t="shared" si="19"/>
        <v>0.15</v>
      </c>
      <c r="F201" s="11">
        <f t="shared" si="20"/>
        <v>50</v>
      </c>
      <c r="G201" s="117"/>
      <c r="H201" s="118"/>
      <c r="I201" s="118"/>
      <c r="J201" s="124">
        <f t="shared" si="21"/>
        <v>31.127129610086399</v>
      </c>
      <c r="N201" s="190"/>
      <c r="O201" s="194"/>
      <c r="P201" s="190"/>
      <c r="Q201" s="194"/>
      <c r="R201" s="190"/>
      <c r="S201" s="195"/>
    </row>
    <row r="202" spans="2:19" outlineLevel="1" x14ac:dyDescent="0.3">
      <c r="B202" s="47"/>
      <c r="C202" s="13"/>
      <c r="D202" s="16">
        <f>'annuity example'!E63</f>
        <v>210.10812486808319</v>
      </c>
      <c r="E202" s="34">
        <f t="shared" si="19"/>
        <v>0.15</v>
      </c>
      <c r="F202" s="11">
        <f t="shared" si="20"/>
        <v>51</v>
      </c>
      <c r="G202" s="117"/>
      <c r="H202" s="118"/>
      <c r="I202" s="118"/>
      <c r="J202" s="124">
        <f t="shared" si="21"/>
        <v>31.516218730212479</v>
      </c>
      <c r="N202" s="190"/>
      <c r="O202" s="194"/>
      <c r="P202" s="190"/>
      <c r="Q202" s="194"/>
      <c r="R202" s="190"/>
      <c r="S202" s="195"/>
    </row>
    <row r="203" spans="2:19" outlineLevel="1" x14ac:dyDescent="0.3">
      <c r="B203" s="47"/>
      <c r="C203" s="13"/>
      <c r="D203" s="16">
        <f>'annuity example'!E64</f>
        <v>212.73447642893424</v>
      </c>
      <c r="E203" s="34">
        <f t="shared" si="19"/>
        <v>0.15</v>
      </c>
      <c r="F203" s="11">
        <f t="shared" si="20"/>
        <v>52</v>
      </c>
      <c r="G203" s="117"/>
      <c r="H203" s="118"/>
      <c r="I203" s="118"/>
      <c r="J203" s="124">
        <f t="shared" si="21"/>
        <v>31.910171464340134</v>
      </c>
      <c r="N203" s="190"/>
      <c r="O203" s="194"/>
      <c r="P203" s="190"/>
      <c r="Q203" s="194"/>
      <c r="R203" s="190"/>
      <c r="S203" s="195"/>
    </row>
    <row r="204" spans="2:19" outlineLevel="1" x14ac:dyDescent="0.3">
      <c r="B204" s="47"/>
      <c r="C204" s="13"/>
      <c r="D204" s="16">
        <f>'annuity example'!E65</f>
        <v>215.39365738429592</v>
      </c>
      <c r="E204" s="34">
        <f t="shared" si="19"/>
        <v>0.15</v>
      </c>
      <c r="F204" s="11">
        <f t="shared" si="20"/>
        <v>53</v>
      </c>
      <c r="G204" s="117"/>
      <c r="H204" s="118"/>
      <c r="I204" s="118"/>
      <c r="J204" s="124">
        <f t="shared" si="21"/>
        <v>32.309048607644385</v>
      </c>
      <c r="N204" s="190"/>
      <c r="O204" s="194"/>
      <c r="P204" s="190"/>
      <c r="Q204" s="194"/>
      <c r="R204" s="190"/>
      <c r="S204" s="195"/>
    </row>
    <row r="205" spans="2:19" outlineLevel="1" x14ac:dyDescent="0.3">
      <c r="B205" s="47"/>
      <c r="C205" s="13"/>
      <c r="D205" s="16">
        <f>'annuity example'!E66</f>
        <v>218.08607810159961</v>
      </c>
      <c r="E205" s="34">
        <f t="shared" si="19"/>
        <v>0.15</v>
      </c>
      <c r="F205" s="11">
        <f t="shared" si="20"/>
        <v>54</v>
      </c>
      <c r="G205" s="117"/>
      <c r="H205" s="118"/>
      <c r="I205" s="118"/>
      <c r="J205" s="124">
        <f t="shared" si="21"/>
        <v>32.71291171523994</v>
      </c>
      <c r="N205" s="190"/>
      <c r="O205" s="194"/>
      <c r="P205" s="190"/>
      <c r="Q205" s="194"/>
      <c r="R205" s="190"/>
      <c r="S205" s="195"/>
    </row>
    <row r="206" spans="2:19" outlineLevel="1" x14ac:dyDescent="0.3">
      <c r="B206" s="47"/>
      <c r="C206" s="13"/>
      <c r="D206" s="16">
        <f>'annuity example'!E67</f>
        <v>220.81215407786959</v>
      </c>
      <c r="E206" s="34">
        <f t="shared" si="19"/>
        <v>0.15</v>
      </c>
      <c r="F206" s="11">
        <f t="shared" si="20"/>
        <v>55</v>
      </c>
      <c r="G206" s="117"/>
      <c r="H206" s="118"/>
      <c r="I206" s="118"/>
      <c r="J206" s="124">
        <f t="shared" si="21"/>
        <v>33.121823111680435</v>
      </c>
      <c r="N206" s="190"/>
      <c r="O206" s="194"/>
      <c r="P206" s="190"/>
      <c r="Q206" s="194"/>
      <c r="R206" s="190"/>
      <c r="S206" s="195"/>
    </row>
    <row r="207" spans="2:19" outlineLevel="1" x14ac:dyDescent="0.3">
      <c r="B207" s="47"/>
      <c r="C207" s="13"/>
      <c r="D207" s="16">
        <f>'annuity example'!E68</f>
        <v>223.57230600384298</v>
      </c>
      <c r="E207" s="34">
        <f t="shared" si="19"/>
        <v>0.15</v>
      </c>
      <c r="F207" s="11">
        <f t="shared" si="20"/>
        <v>56</v>
      </c>
      <c r="G207" s="117"/>
      <c r="H207" s="118"/>
      <c r="I207" s="118"/>
      <c r="J207" s="124">
        <f t="shared" si="21"/>
        <v>33.535845900576447</v>
      </c>
      <c r="N207" s="190"/>
      <c r="O207" s="194"/>
      <c r="P207" s="190"/>
      <c r="Q207" s="194"/>
      <c r="R207" s="190"/>
      <c r="S207" s="195"/>
    </row>
    <row r="208" spans="2:19" outlineLevel="1" x14ac:dyDescent="0.3">
      <c r="B208" s="47"/>
      <c r="C208" s="13"/>
      <c r="D208" s="16">
        <f>'annuity example'!E69</f>
        <v>226.36695982889103</v>
      </c>
      <c r="E208" s="34">
        <f t="shared" si="19"/>
        <v>0.15</v>
      </c>
      <c r="F208" s="11">
        <f t="shared" si="20"/>
        <v>57</v>
      </c>
      <c r="G208" s="117"/>
      <c r="H208" s="118"/>
      <c r="I208" s="118"/>
      <c r="J208" s="124">
        <f t="shared" si="21"/>
        <v>33.955043974333655</v>
      </c>
      <c r="N208" s="190"/>
      <c r="O208" s="194"/>
      <c r="P208" s="190"/>
      <c r="Q208" s="194"/>
      <c r="R208" s="190"/>
      <c r="S208" s="195"/>
    </row>
    <row r="209" spans="2:19" outlineLevel="1" x14ac:dyDescent="0.3">
      <c r="B209" s="47"/>
      <c r="C209" s="13"/>
      <c r="D209" s="16">
        <f>'annuity example'!E70</f>
        <v>229.19654682675215</v>
      </c>
      <c r="E209" s="34">
        <f t="shared" si="19"/>
        <v>0.15</v>
      </c>
      <c r="F209" s="11">
        <f t="shared" si="20"/>
        <v>58</v>
      </c>
      <c r="G209" s="117"/>
      <c r="H209" s="118"/>
      <c r="I209" s="118"/>
      <c r="J209" s="124">
        <f t="shared" si="21"/>
        <v>34.379482024012823</v>
      </c>
      <c r="N209" s="190"/>
      <c r="O209" s="194"/>
      <c r="P209" s="190"/>
      <c r="Q209" s="194"/>
      <c r="R209" s="190"/>
      <c r="S209" s="195"/>
    </row>
    <row r="210" spans="2:19" outlineLevel="1" x14ac:dyDescent="0.3">
      <c r="B210" s="47"/>
      <c r="C210" s="13"/>
      <c r="D210" s="16">
        <f>'annuity example'!E71</f>
        <v>232.06150366208655</v>
      </c>
      <c r="E210" s="34">
        <f t="shared" si="19"/>
        <v>0.15</v>
      </c>
      <c r="F210" s="11">
        <f t="shared" si="20"/>
        <v>59</v>
      </c>
      <c r="G210" s="117"/>
      <c r="H210" s="118"/>
      <c r="I210" s="118"/>
      <c r="J210" s="124">
        <f t="shared" si="21"/>
        <v>34.809225549312984</v>
      </c>
      <c r="N210" s="190"/>
      <c r="O210" s="194"/>
      <c r="P210" s="190"/>
      <c r="Q210" s="194"/>
      <c r="R210" s="190"/>
      <c r="S210" s="195"/>
    </row>
    <row r="211" spans="2:19" outlineLevel="1" x14ac:dyDescent="0.3">
      <c r="B211" s="47"/>
      <c r="C211" s="13"/>
      <c r="D211" s="16">
        <f>'annuity example'!E72</f>
        <v>234.96227245786264</v>
      </c>
      <c r="E211" s="34">
        <f t="shared" si="19"/>
        <v>0.15</v>
      </c>
      <c r="F211" s="11">
        <f t="shared" si="20"/>
        <v>60</v>
      </c>
      <c r="G211" s="117"/>
      <c r="H211" s="118"/>
      <c r="I211" s="118"/>
      <c r="J211" s="124">
        <f t="shared" si="21"/>
        <v>35.244340868679394</v>
      </c>
      <c r="N211" s="190"/>
      <c r="O211" s="194"/>
      <c r="P211" s="190"/>
      <c r="Q211" s="194"/>
      <c r="R211" s="190"/>
      <c r="S211" s="195"/>
    </row>
    <row r="212" spans="2:19" ht="10.8" thickBot="1" x14ac:dyDescent="0.35">
      <c r="B212" s="129"/>
      <c r="C212" s="130" t="s">
        <v>75</v>
      </c>
      <c r="D212" s="131"/>
      <c r="E212" s="132"/>
      <c r="F212" s="133"/>
      <c r="G212" s="134"/>
      <c r="H212" s="135"/>
      <c r="I212" s="135"/>
      <c r="J212" s="136">
        <f>SUM(J152:J211)</f>
        <v>1506.4756135042669</v>
      </c>
      <c r="N212" s="190"/>
      <c r="O212" s="194"/>
      <c r="P212" s="190"/>
      <c r="Q212" s="194"/>
      <c r="R212" s="190"/>
      <c r="S212" s="195"/>
    </row>
    <row r="213" spans="2:19" x14ac:dyDescent="0.3">
      <c r="B213" s="42">
        <v>3</v>
      </c>
      <c r="C213" s="54" t="s">
        <v>12</v>
      </c>
      <c r="D213" s="86">
        <f>$C$22/($C$23*12)</f>
        <v>50</v>
      </c>
      <c r="E213" s="44">
        <f>$C$24</f>
        <v>0.14000000000000001</v>
      </c>
      <c r="F213" s="119">
        <v>1</v>
      </c>
      <c r="G213" s="120">
        <f>E213+1%</f>
        <v>0.15000000000000002</v>
      </c>
      <c r="H213" s="121">
        <f t="shared" ref="H213" si="22">F213/12*E213*D213</f>
        <v>0.58333333333333337</v>
      </c>
      <c r="I213" s="121">
        <f t="shared" ref="I213" si="23">(12-F213)/12*G213*D213</f>
        <v>6.8750000000000009</v>
      </c>
      <c r="J213" s="122">
        <f t="shared" ref="J213:J224" si="24">H213+I213</f>
        <v>7.4583333333333339</v>
      </c>
      <c r="N213" s="190"/>
      <c r="O213" s="194"/>
      <c r="P213" s="190"/>
      <c r="Q213" s="194"/>
      <c r="R213" s="190"/>
      <c r="S213" s="195"/>
    </row>
    <row r="214" spans="2:19" x14ac:dyDescent="0.3">
      <c r="B214" s="47"/>
      <c r="C214" s="12"/>
      <c r="D214" s="16">
        <f t="shared" ref="D214:D277" si="25">$C$22/($C$23*12)</f>
        <v>50</v>
      </c>
      <c r="E214" s="34">
        <f t="shared" ref="E214:E277" si="26">$C$24</f>
        <v>0.14000000000000001</v>
      </c>
      <c r="F214" s="11">
        <v>2</v>
      </c>
      <c r="G214" s="61">
        <f t="shared" ref="G214:G224" si="27">E214+1%</f>
        <v>0.15000000000000002</v>
      </c>
      <c r="H214" s="79">
        <f t="shared" ref="H214:H224" si="28">F214/12*E214*D214</f>
        <v>1.1666666666666667</v>
      </c>
      <c r="I214" s="79">
        <f t="shared" ref="I214:I224" si="29">(12-F214)/12*G214*D214</f>
        <v>6.2500000000000018</v>
      </c>
      <c r="J214" s="123">
        <f t="shared" si="24"/>
        <v>7.4166666666666687</v>
      </c>
      <c r="N214" s="190"/>
      <c r="O214" s="194"/>
      <c r="P214" s="190"/>
      <c r="Q214" s="194"/>
      <c r="R214" s="190"/>
      <c r="S214" s="195"/>
    </row>
    <row r="215" spans="2:19" x14ac:dyDescent="0.3">
      <c r="B215" s="47"/>
      <c r="C215" s="12"/>
      <c r="D215" s="16">
        <f t="shared" si="25"/>
        <v>50</v>
      </c>
      <c r="E215" s="34">
        <f t="shared" si="26"/>
        <v>0.14000000000000001</v>
      </c>
      <c r="F215" s="11">
        <f>F214+1</f>
        <v>3</v>
      </c>
      <c r="G215" s="61">
        <f t="shared" si="27"/>
        <v>0.15000000000000002</v>
      </c>
      <c r="H215" s="79">
        <f t="shared" si="28"/>
        <v>1.7500000000000002</v>
      </c>
      <c r="I215" s="79">
        <f t="shared" si="29"/>
        <v>5.6250000000000009</v>
      </c>
      <c r="J215" s="123">
        <f t="shared" si="24"/>
        <v>7.3750000000000009</v>
      </c>
      <c r="N215" s="190"/>
      <c r="O215" s="194"/>
      <c r="P215" s="190"/>
      <c r="Q215" s="194"/>
      <c r="R215" s="190"/>
      <c r="S215" s="195"/>
    </row>
    <row r="216" spans="2:19" x14ac:dyDescent="0.3">
      <c r="B216" s="47"/>
      <c r="C216" s="12"/>
      <c r="D216" s="16">
        <f t="shared" si="25"/>
        <v>50</v>
      </c>
      <c r="E216" s="34">
        <f t="shared" si="26"/>
        <v>0.14000000000000001</v>
      </c>
      <c r="F216" s="11">
        <f t="shared" ref="F216:F279" si="30">F215+1</f>
        <v>4</v>
      </c>
      <c r="G216" s="61">
        <f t="shared" si="27"/>
        <v>0.15000000000000002</v>
      </c>
      <c r="H216" s="79">
        <f t="shared" si="28"/>
        <v>2.3333333333333335</v>
      </c>
      <c r="I216" s="79">
        <f t="shared" si="29"/>
        <v>5</v>
      </c>
      <c r="J216" s="123">
        <f t="shared" si="24"/>
        <v>7.3333333333333339</v>
      </c>
      <c r="N216" s="190"/>
      <c r="O216" s="194"/>
      <c r="P216" s="190"/>
      <c r="Q216" s="194"/>
      <c r="R216" s="190"/>
      <c r="S216" s="195"/>
    </row>
    <row r="217" spans="2:19" x14ac:dyDescent="0.3">
      <c r="B217" s="47"/>
      <c r="C217" s="12"/>
      <c r="D217" s="16">
        <f t="shared" si="25"/>
        <v>50</v>
      </c>
      <c r="E217" s="34">
        <f t="shared" si="26"/>
        <v>0.14000000000000001</v>
      </c>
      <c r="F217" s="11">
        <f t="shared" si="30"/>
        <v>5</v>
      </c>
      <c r="G217" s="61">
        <f t="shared" si="27"/>
        <v>0.15000000000000002</v>
      </c>
      <c r="H217" s="79">
        <f t="shared" si="28"/>
        <v>2.916666666666667</v>
      </c>
      <c r="I217" s="79">
        <f t="shared" si="29"/>
        <v>4.3750000000000009</v>
      </c>
      <c r="J217" s="123">
        <f t="shared" si="24"/>
        <v>7.2916666666666679</v>
      </c>
      <c r="N217" s="190"/>
      <c r="O217" s="194"/>
      <c r="P217" s="190"/>
      <c r="Q217" s="194"/>
      <c r="R217" s="190"/>
      <c r="S217" s="195"/>
    </row>
    <row r="218" spans="2:19" x14ac:dyDescent="0.3">
      <c r="B218" s="47"/>
      <c r="C218" s="12"/>
      <c r="D218" s="16">
        <f t="shared" si="25"/>
        <v>50</v>
      </c>
      <c r="E218" s="34">
        <f t="shared" si="26"/>
        <v>0.14000000000000001</v>
      </c>
      <c r="F218" s="11">
        <f t="shared" si="30"/>
        <v>6</v>
      </c>
      <c r="G218" s="61">
        <f t="shared" si="27"/>
        <v>0.15000000000000002</v>
      </c>
      <c r="H218" s="79">
        <f t="shared" si="28"/>
        <v>3.5000000000000004</v>
      </c>
      <c r="I218" s="79">
        <f t="shared" si="29"/>
        <v>3.7500000000000004</v>
      </c>
      <c r="J218" s="123">
        <f t="shared" si="24"/>
        <v>7.2500000000000009</v>
      </c>
      <c r="N218" s="190"/>
      <c r="O218" s="194"/>
      <c r="P218" s="190"/>
      <c r="Q218" s="194"/>
      <c r="R218" s="190"/>
      <c r="S218" s="195"/>
    </row>
    <row r="219" spans="2:19" x14ac:dyDescent="0.3">
      <c r="B219" s="47"/>
      <c r="C219" s="12"/>
      <c r="D219" s="16">
        <f t="shared" si="25"/>
        <v>50</v>
      </c>
      <c r="E219" s="34">
        <f t="shared" si="26"/>
        <v>0.14000000000000001</v>
      </c>
      <c r="F219" s="11">
        <f t="shared" si="30"/>
        <v>7</v>
      </c>
      <c r="G219" s="61">
        <f t="shared" si="27"/>
        <v>0.15000000000000002</v>
      </c>
      <c r="H219" s="79">
        <f t="shared" si="28"/>
        <v>4.0833333333333339</v>
      </c>
      <c r="I219" s="79">
        <f t="shared" si="29"/>
        <v>3.1250000000000009</v>
      </c>
      <c r="J219" s="123">
        <f t="shared" si="24"/>
        <v>7.2083333333333348</v>
      </c>
      <c r="N219" s="190"/>
      <c r="O219" s="194"/>
      <c r="P219" s="190"/>
      <c r="Q219" s="194"/>
      <c r="R219" s="190"/>
      <c r="S219" s="195"/>
    </row>
    <row r="220" spans="2:19" x14ac:dyDescent="0.3">
      <c r="B220" s="47"/>
      <c r="C220" s="12"/>
      <c r="D220" s="16">
        <f t="shared" si="25"/>
        <v>50</v>
      </c>
      <c r="E220" s="34">
        <f t="shared" si="26"/>
        <v>0.14000000000000001</v>
      </c>
      <c r="F220" s="11">
        <f t="shared" si="30"/>
        <v>8</v>
      </c>
      <c r="G220" s="61">
        <f t="shared" si="27"/>
        <v>0.15000000000000002</v>
      </c>
      <c r="H220" s="79">
        <f t="shared" si="28"/>
        <v>4.666666666666667</v>
      </c>
      <c r="I220" s="79">
        <f t="shared" si="29"/>
        <v>2.5</v>
      </c>
      <c r="J220" s="123">
        <f t="shared" si="24"/>
        <v>7.166666666666667</v>
      </c>
      <c r="N220" s="190"/>
      <c r="O220" s="194"/>
      <c r="P220" s="190"/>
      <c r="Q220" s="194"/>
      <c r="R220" s="190"/>
      <c r="S220" s="195"/>
    </row>
    <row r="221" spans="2:19" x14ac:dyDescent="0.3">
      <c r="B221" s="47"/>
      <c r="C221" s="12"/>
      <c r="D221" s="16">
        <f t="shared" si="25"/>
        <v>50</v>
      </c>
      <c r="E221" s="34">
        <f t="shared" si="26"/>
        <v>0.14000000000000001</v>
      </c>
      <c r="F221" s="11">
        <f t="shared" si="30"/>
        <v>9</v>
      </c>
      <c r="G221" s="61">
        <f t="shared" si="27"/>
        <v>0.15000000000000002</v>
      </c>
      <c r="H221" s="79">
        <f t="shared" si="28"/>
        <v>5.2500000000000009</v>
      </c>
      <c r="I221" s="79">
        <f t="shared" si="29"/>
        <v>1.8750000000000002</v>
      </c>
      <c r="J221" s="123">
        <f t="shared" si="24"/>
        <v>7.1250000000000009</v>
      </c>
      <c r="N221" s="190"/>
      <c r="O221" s="194"/>
      <c r="P221" s="190"/>
      <c r="Q221" s="194"/>
      <c r="R221" s="190"/>
      <c r="S221" s="195"/>
    </row>
    <row r="222" spans="2:19" x14ac:dyDescent="0.3">
      <c r="B222" s="47"/>
      <c r="C222" s="12"/>
      <c r="D222" s="16">
        <f t="shared" si="25"/>
        <v>50</v>
      </c>
      <c r="E222" s="34">
        <f t="shared" si="26"/>
        <v>0.14000000000000001</v>
      </c>
      <c r="F222" s="11">
        <f t="shared" si="30"/>
        <v>10</v>
      </c>
      <c r="G222" s="61">
        <f t="shared" si="27"/>
        <v>0.15000000000000002</v>
      </c>
      <c r="H222" s="79">
        <f t="shared" si="28"/>
        <v>5.8333333333333339</v>
      </c>
      <c r="I222" s="79">
        <f t="shared" si="29"/>
        <v>1.25</v>
      </c>
      <c r="J222" s="123">
        <f t="shared" si="24"/>
        <v>7.0833333333333339</v>
      </c>
      <c r="N222" s="190"/>
      <c r="O222" s="194"/>
      <c r="P222" s="190"/>
      <c r="Q222" s="194"/>
      <c r="R222" s="190"/>
      <c r="S222" s="195"/>
    </row>
    <row r="223" spans="2:19" x14ac:dyDescent="0.3">
      <c r="B223" s="47"/>
      <c r="C223" s="12"/>
      <c r="D223" s="16">
        <f t="shared" si="25"/>
        <v>50</v>
      </c>
      <c r="E223" s="34">
        <f t="shared" si="26"/>
        <v>0.14000000000000001</v>
      </c>
      <c r="F223" s="11">
        <f t="shared" si="30"/>
        <v>11</v>
      </c>
      <c r="G223" s="61">
        <f t="shared" si="27"/>
        <v>0.15000000000000002</v>
      </c>
      <c r="H223" s="79">
        <f t="shared" si="28"/>
        <v>6.4166666666666661</v>
      </c>
      <c r="I223" s="79">
        <f t="shared" si="29"/>
        <v>0.625</v>
      </c>
      <c r="J223" s="123">
        <f t="shared" si="24"/>
        <v>7.0416666666666661</v>
      </c>
      <c r="N223" s="190"/>
      <c r="O223" s="194"/>
      <c r="P223" s="190"/>
      <c r="Q223" s="194"/>
      <c r="R223" s="190"/>
      <c r="S223" s="195"/>
    </row>
    <row r="224" spans="2:19" x14ac:dyDescent="0.3">
      <c r="B224" s="47"/>
      <c r="C224" s="12"/>
      <c r="D224" s="16">
        <f t="shared" si="25"/>
        <v>50</v>
      </c>
      <c r="E224" s="34">
        <f t="shared" si="26"/>
        <v>0.14000000000000001</v>
      </c>
      <c r="F224" s="11">
        <f t="shared" si="30"/>
        <v>12</v>
      </c>
      <c r="G224" s="61">
        <f t="shared" si="27"/>
        <v>0.15000000000000002</v>
      </c>
      <c r="H224" s="79">
        <f t="shared" si="28"/>
        <v>7.0000000000000009</v>
      </c>
      <c r="I224" s="79">
        <f t="shared" si="29"/>
        <v>0</v>
      </c>
      <c r="J224" s="123">
        <f t="shared" si="24"/>
        <v>7.0000000000000009</v>
      </c>
      <c r="N224" s="190"/>
      <c r="O224" s="194"/>
      <c r="P224" s="190"/>
      <c r="Q224" s="194"/>
      <c r="R224" s="190"/>
      <c r="S224" s="195"/>
    </row>
    <row r="225" spans="2:19" x14ac:dyDescent="0.3">
      <c r="B225" s="47"/>
      <c r="C225" s="12"/>
      <c r="D225" s="16">
        <f t="shared" si="25"/>
        <v>50</v>
      </c>
      <c r="E225" s="34">
        <f t="shared" si="26"/>
        <v>0.14000000000000001</v>
      </c>
      <c r="F225" s="11">
        <f t="shared" si="30"/>
        <v>13</v>
      </c>
      <c r="G225" s="116" t="s">
        <v>76</v>
      </c>
      <c r="H225" s="118"/>
      <c r="I225" s="118"/>
      <c r="J225" s="124">
        <f>D225*E225</f>
        <v>7.0000000000000009</v>
      </c>
      <c r="N225" s="190"/>
      <c r="O225" s="194"/>
      <c r="P225" s="190"/>
      <c r="Q225" s="194"/>
      <c r="R225" s="190"/>
      <c r="S225" s="195"/>
    </row>
    <row r="226" spans="2:19" outlineLevel="1" x14ac:dyDescent="0.3">
      <c r="B226" s="47"/>
      <c r="C226" s="12"/>
      <c r="D226" s="16">
        <f t="shared" si="25"/>
        <v>50</v>
      </c>
      <c r="E226" s="34">
        <f t="shared" si="26"/>
        <v>0.14000000000000001</v>
      </c>
      <c r="F226" s="11">
        <f t="shared" si="30"/>
        <v>14</v>
      </c>
      <c r="G226" s="116"/>
      <c r="H226" s="118"/>
      <c r="I226" s="118"/>
      <c r="J226" s="124">
        <f t="shared" ref="J226:J289" si="31">D226*E226</f>
        <v>7.0000000000000009</v>
      </c>
      <c r="N226" s="190"/>
      <c r="O226" s="194"/>
      <c r="P226" s="190"/>
      <c r="Q226" s="194"/>
      <c r="R226" s="190"/>
      <c r="S226" s="195"/>
    </row>
    <row r="227" spans="2:19" outlineLevel="1" x14ac:dyDescent="0.3">
      <c r="B227" s="47"/>
      <c r="C227" s="12"/>
      <c r="D227" s="16">
        <f t="shared" si="25"/>
        <v>50</v>
      </c>
      <c r="E227" s="34">
        <f t="shared" si="26"/>
        <v>0.14000000000000001</v>
      </c>
      <c r="F227" s="11">
        <f t="shared" si="30"/>
        <v>15</v>
      </c>
      <c r="G227" s="116"/>
      <c r="H227" s="118"/>
      <c r="I227" s="118"/>
      <c r="J227" s="124">
        <f t="shared" si="31"/>
        <v>7.0000000000000009</v>
      </c>
      <c r="N227" s="190"/>
      <c r="O227" s="194"/>
      <c r="P227" s="190"/>
      <c r="Q227" s="194"/>
      <c r="R227" s="190"/>
      <c r="S227" s="195"/>
    </row>
    <row r="228" spans="2:19" outlineLevel="1" x14ac:dyDescent="0.3">
      <c r="B228" s="47"/>
      <c r="C228" s="12"/>
      <c r="D228" s="16">
        <f t="shared" si="25"/>
        <v>50</v>
      </c>
      <c r="E228" s="34">
        <f t="shared" si="26"/>
        <v>0.14000000000000001</v>
      </c>
      <c r="F228" s="11">
        <f t="shared" si="30"/>
        <v>16</v>
      </c>
      <c r="G228" s="116"/>
      <c r="H228" s="118"/>
      <c r="I228" s="118"/>
      <c r="J228" s="124">
        <f t="shared" si="31"/>
        <v>7.0000000000000009</v>
      </c>
      <c r="N228" s="190"/>
      <c r="O228" s="194"/>
      <c r="P228" s="190"/>
      <c r="Q228" s="194"/>
      <c r="R228" s="190"/>
      <c r="S228" s="195"/>
    </row>
    <row r="229" spans="2:19" outlineLevel="1" x14ac:dyDescent="0.3">
      <c r="B229" s="47"/>
      <c r="C229" s="12"/>
      <c r="D229" s="16">
        <f t="shared" si="25"/>
        <v>50</v>
      </c>
      <c r="E229" s="34">
        <f t="shared" si="26"/>
        <v>0.14000000000000001</v>
      </c>
      <c r="F229" s="11">
        <f t="shared" si="30"/>
        <v>17</v>
      </c>
      <c r="G229" s="116"/>
      <c r="H229" s="118"/>
      <c r="I229" s="118"/>
      <c r="J229" s="124">
        <f t="shared" si="31"/>
        <v>7.0000000000000009</v>
      </c>
      <c r="N229" s="190"/>
      <c r="O229" s="194"/>
      <c r="P229" s="190"/>
      <c r="Q229" s="194"/>
      <c r="R229" s="190"/>
      <c r="S229" s="195"/>
    </row>
    <row r="230" spans="2:19" outlineLevel="1" x14ac:dyDescent="0.3">
      <c r="B230" s="47"/>
      <c r="C230" s="12"/>
      <c r="D230" s="16">
        <f t="shared" si="25"/>
        <v>50</v>
      </c>
      <c r="E230" s="34">
        <f t="shared" si="26"/>
        <v>0.14000000000000001</v>
      </c>
      <c r="F230" s="11">
        <f t="shared" si="30"/>
        <v>18</v>
      </c>
      <c r="G230" s="116"/>
      <c r="H230" s="118"/>
      <c r="I230" s="118"/>
      <c r="J230" s="124">
        <f t="shared" si="31"/>
        <v>7.0000000000000009</v>
      </c>
      <c r="N230" s="190"/>
      <c r="O230" s="194"/>
      <c r="P230" s="190"/>
      <c r="Q230" s="194"/>
      <c r="R230" s="190"/>
      <c r="S230" s="195"/>
    </row>
    <row r="231" spans="2:19" outlineLevel="1" x14ac:dyDescent="0.3">
      <c r="B231" s="47"/>
      <c r="C231" s="12"/>
      <c r="D231" s="16">
        <f t="shared" si="25"/>
        <v>50</v>
      </c>
      <c r="E231" s="34">
        <f t="shared" si="26"/>
        <v>0.14000000000000001</v>
      </c>
      <c r="F231" s="11">
        <f t="shared" si="30"/>
        <v>19</v>
      </c>
      <c r="G231" s="116"/>
      <c r="H231" s="118"/>
      <c r="I231" s="118"/>
      <c r="J231" s="124">
        <f t="shared" si="31"/>
        <v>7.0000000000000009</v>
      </c>
      <c r="N231" s="190"/>
      <c r="O231" s="194"/>
      <c r="P231" s="190"/>
      <c r="Q231" s="194"/>
      <c r="R231" s="190"/>
      <c r="S231" s="195"/>
    </row>
    <row r="232" spans="2:19" outlineLevel="1" x14ac:dyDescent="0.3">
      <c r="B232" s="47"/>
      <c r="C232" s="12"/>
      <c r="D232" s="16">
        <f t="shared" si="25"/>
        <v>50</v>
      </c>
      <c r="E232" s="34">
        <f t="shared" si="26"/>
        <v>0.14000000000000001</v>
      </c>
      <c r="F232" s="11">
        <f t="shared" si="30"/>
        <v>20</v>
      </c>
      <c r="G232" s="116"/>
      <c r="H232" s="118"/>
      <c r="I232" s="118"/>
      <c r="J232" s="124">
        <f t="shared" si="31"/>
        <v>7.0000000000000009</v>
      </c>
      <c r="N232" s="190"/>
      <c r="O232" s="194"/>
      <c r="P232" s="190"/>
      <c r="Q232" s="194"/>
      <c r="R232" s="190"/>
      <c r="S232" s="195"/>
    </row>
    <row r="233" spans="2:19" outlineLevel="1" x14ac:dyDescent="0.3">
      <c r="B233" s="47"/>
      <c r="C233" s="12"/>
      <c r="D233" s="16">
        <f t="shared" si="25"/>
        <v>50</v>
      </c>
      <c r="E233" s="34">
        <f t="shared" si="26"/>
        <v>0.14000000000000001</v>
      </c>
      <c r="F233" s="11">
        <f t="shared" si="30"/>
        <v>21</v>
      </c>
      <c r="G233" s="116"/>
      <c r="H233" s="118"/>
      <c r="I233" s="118"/>
      <c r="J233" s="124">
        <f t="shared" si="31"/>
        <v>7.0000000000000009</v>
      </c>
      <c r="N233" s="190"/>
      <c r="O233" s="194"/>
      <c r="P233" s="190"/>
      <c r="Q233" s="194"/>
      <c r="R233" s="190"/>
      <c r="S233" s="195"/>
    </row>
    <row r="234" spans="2:19" outlineLevel="1" x14ac:dyDescent="0.3">
      <c r="B234" s="47"/>
      <c r="C234" s="12"/>
      <c r="D234" s="16">
        <f t="shared" si="25"/>
        <v>50</v>
      </c>
      <c r="E234" s="34">
        <f t="shared" si="26"/>
        <v>0.14000000000000001</v>
      </c>
      <c r="F234" s="11">
        <f t="shared" si="30"/>
        <v>22</v>
      </c>
      <c r="G234" s="116"/>
      <c r="H234" s="118"/>
      <c r="I234" s="118"/>
      <c r="J234" s="124">
        <f t="shared" si="31"/>
        <v>7.0000000000000009</v>
      </c>
      <c r="N234" s="190"/>
      <c r="O234" s="194"/>
      <c r="P234" s="190"/>
      <c r="Q234" s="194"/>
      <c r="R234" s="190"/>
      <c r="S234" s="195"/>
    </row>
    <row r="235" spans="2:19" outlineLevel="1" x14ac:dyDescent="0.3">
      <c r="B235" s="47"/>
      <c r="C235" s="12"/>
      <c r="D235" s="16">
        <f t="shared" si="25"/>
        <v>50</v>
      </c>
      <c r="E235" s="34">
        <f t="shared" si="26"/>
        <v>0.14000000000000001</v>
      </c>
      <c r="F235" s="11">
        <f t="shared" si="30"/>
        <v>23</v>
      </c>
      <c r="G235" s="116"/>
      <c r="H235" s="118"/>
      <c r="I235" s="118"/>
      <c r="J235" s="124">
        <f t="shared" si="31"/>
        <v>7.0000000000000009</v>
      </c>
      <c r="N235" s="190"/>
      <c r="O235" s="194"/>
      <c r="P235" s="190"/>
      <c r="Q235" s="194"/>
      <c r="R235" s="190"/>
      <c r="S235" s="195"/>
    </row>
    <row r="236" spans="2:19" outlineLevel="1" x14ac:dyDescent="0.3">
      <c r="B236" s="47"/>
      <c r="C236" s="12"/>
      <c r="D236" s="16">
        <f t="shared" si="25"/>
        <v>50</v>
      </c>
      <c r="E236" s="34">
        <f t="shared" si="26"/>
        <v>0.14000000000000001</v>
      </c>
      <c r="F236" s="11">
        <f t="shared" si="30"/>
        <v>24</v>
      </c>
      <c r="G236" s="116"/>
      <c r="H236" s="118"/>
      <c r="I236" s="118"/>
      <c r="J236" s="124">
        <f t="shared" si="31"/>
        <v>7.0000000000000009</v>
      </c>
      <c r="N236" s="190"/>
      <c r="O236" s="194"/>
      <c r="P236" s="190"/>
      <c r="Q236" s="194"/>
      <c r="R236" s="190"/>
      <c r="S236" s="195"/>
    </row>
    <row r="237" spans="2:19" outlineLevel="1" x14ac:dyDescent="0.3">
      <c r="B237" s="47"/>
      <c r="C237" s="12"/>
      <c r="D237" s="16">
        <f t="shared" si="25"/>
        <v>50</v>
      </c>
      <c r="E237" s="34">
        <f t="shared" si="26"/>
        <v>0.14000000000000001</v>
      </c>
      <c r="F237" s="11">
        <f t="shared" si="30"/>
        <v>25</v>
      </c>
      <c r="G237" s="116"/>
      <c r="H237" s="118"/>
      <c r="I237" s="118"/>
      <c r="J237" s="124">
        <f t="shared" si="31"/>
        <v>7.0000000000000009</v>
      </c>
      <c r="N237" s="190"/>
      <c r="O237" s="194"/>
      <c r="P237" s="190"/>
      <c r="Q237" s="194"/>
      <c r="R237" s="190"/>
      <c r="S237" s="195"/>
    </row>
    <row r="238" spans="2:19" outlineLevel="1" x14ac:dyDescent="0.3">
      <c r="B238" s="47"/>
      <c r="C238" s="12"/>
      <c r="D238" s="16">
        <f t="shared" si="25"/>
        <v>50</v>
      </c>
      <c r="E238" s="34">
        <f t="shared" si="26"/>
        <v>0.14000000000000001</v>
      </c>
      <c r="F238" s="11">
        <f t="shared" si="30"/>
        <v>26</v>
      </c>
      <c r="G238" s="116"/>
      <c r="H238" s="118"/>
      <c r="I238" s="118"/>
      <c r="J238" s="124">
        <f t="shared" si="31"/>
        <v>7.0000000000000009</v>
      </c>
      <c r="N238" s="190"/>
      <c r="O238" s="194"/>
      <c r="P238" s="190"/>
      <c r="Q238" s="194"/>
      <c r="R238" s="190"/>
      <c r="S238" s="195"/>
    </row>
    <row r="239" spans="2:19" outlineLevel="1" x14ac:dyDescent="0.3">
      <c r="B239" s="47"/>
      <c r="C239" s="12"/>
      <c r="D239" s="16">
        <f t="shared" si="25"/>
        <v>50</v>
      </c>
      <c r="E239" s="34">
        <f t="shared" si="26"/>
        <v>0.14000000000000001</v>
      </c>
      <c r="F239" s="11">
        <f t="shared" si="30"/>
        <v>27</v>
      </c>
      <c r="G239" s="116"/>
      <c r="H239" s="118"/>
      <c r="I239" s="118"/>
      <c r="J239" s="124">
        <f t="shared" si="31"/>
        <v>7.0000000000000009</v>
      </c>
      <c r="N239" s="190"/>
      <c r="O239" s="194"/>
      <c r="P239" s="190"/>
      <c r="Q239" s="194"/>
      <c r="R239" s="190"/>
      <c r="S239" s="195"/>
    </row>
    <row r="240" spans="2:19" outlineLevel="1" x14ac:dyDescent="0.3">
      <c r="B240" s="47"/>
      <c r="C240" s="12"/>
      <c r="D240" s="16">
        <f t="shared" si="25"/>
        <v>50</v>
      </c>
      <c r="E240" s="34">
        <f t="shared" si="26"/>
        <v>0.14000000000000001</v>
      </c>
      <c r="F240" s="11">
        <f t="shared" si="30"/>
        <v>28</v>
      </c>
      <c r="G240" s="116"/>
      <c r="H240" s="118"/>
      <c r="I240" s="118"/>
      <c r="J240" s="124">
        <f t="shared" si="31"/>
        <v>7.0000000000000009</v>
      </c>
      <c r="N240" s="190"/>
      <c r="O240" s="194"/>
      <c r="P240" s="190"/>
      <c r="Q240" s="194"/>
      <c r="R240" s="190"/>
      <c r="S240" s="195"/>
    </row>
    <row r="241" spans="2:19" outlineLevel="1" x14ac:dyDescent="0.3">
      <c r="B241" s="47"/>
      <c r="C241" s="12"/>
      <c r="D241" s="16">
        <f t="shared" si="25"/>
        <v>50</v>
      </c>
      <c r="E241" s="34">
        <f t="shared" si="26"/>
        <v>0.14000000000000001</v>
      </c>
      <c r="F241" s="11">
        <f t="shared" si="30"/>
        <v>29</v>
      </c>
      <c r="G241" s="116"/>
      <c r="H241" s="118"/>
      <c r="I241" s="118"/>
      <c r="J241" s="124">
        <f t="shared" si="31"/>
        <v>7.0000000000000009</v>
      </c>
      <c r="N241" s="190"/>
      <c r="O241" s="194"/>
      <c r="P241" s="190"/>
      <c r="Q241" s="194"/>
      <c r="R241" s="190"/>
      <c r="S241" s="195"/>
    </row>
    <row r="242" spans="2:19" outlineLevel="1" x14ac:dyDescent="0.3">
      <c r="B242" s="47"/>
      <c r="C242" s="12"/>
      <c r="D242" s="16">
        <f t="shared" si="25"/>
        <v>50</v>
      </c>
      <c r="E242" s="34">
        <f t="shared" si="26"/>
        <v>0.14000000000000001</v>
      </c>
      <c r="F242" s="11">
        <f t="shared" si="30"/>
        <v>30</v>
      </c>
      <c r="G242" s="116"/>
      <c r="H242" s="118"/>
      <c r="I242" s="118"/>
      <c r="J242" s="124">
        <f t="shared" si="31"/>
        <v>7.0000000000000009</v>
      </c>
      <c r="N242" s="190"/>
      <c r="O242" s="194"/>
      <c r="P242" s="190"/>
      <c r="Q242" s="194"/>
      <c r="R242" s="190"/>
      <c r="S242" s="195"/>
    </row>
    <row r="243" spans="2:19" outlineLevel="1" x14ac:dyDescent="0.3">
      <c r="B243" s="47"/>
      <c r="C243" s="12"/>
      <c r="D243" s="16">
        <f t="shared" si="25"/>
        <v>50</v>
      </c>
      <c r="E243" s="34">
        <f t="shared" si="26"/>
        <v>0.14000000000000001</v>
      </c>
      <c r="F243" s="11">
        <f t="shared" si="30"/>
        <v>31</v>
      </c>
      <c r="G243" s="116"/>
      <c r="H243" s="118"/>
      <c r="I243" s="118"/>
      <c r="J243" s="124">
        <f t="shared" si="31"/>
        <v>7.0000000000000009</v>
      </c>
      <c r="N243" s="190"/>
      <c r="O243" s="194"/>
      <c r="P243" s="190"/>
      <c r="Q243" s="194"/>
      <c r="R243" s="190"/>
      <c r="S243" s="195"/>
    </row>
    <row r="244" spans="2:19" outlineLevel="1" x14ac:dyDescent="0.3">
      <c r="B244" s="47"/>
      <c r="C244" s="12"/>
      <c r="D244" s="16">
        <f t="shared" si="25"/>
        <v>50</v>
      </c>
      <c r="E244" s="34">
        <f t="shared" si="26"/>
        <v>0.14000000000000001</v>
      </c>
      <c r="F244" s="11">
        <f t="shared" si="30"/>
        <v>32</v>
      </c>
      <c r="G244" s="116"/>
      <c r="H244" s="118"/>
      <c r="I244" s="118"/>
      <c r="J244" s="124">
        <f t="shared" si="31"/>
        <v>7.0000000000000009</v>
      </c>
      <c r="N244" s="190"/>
      <c r="O244" s="194"/>
      <c r="P244" s="190"/>
      <c r="Q244" s="194"/>
      <c r="R244" s="190"/>
      <c r="S244" s="195"/>
    </row>
    <row r="245" spans="2:19" outlineLevel="1" x14ac:dyDescent="0.3">
      <c r="B245" s="47"/>
      <c r="C245" s="12"/>
      <c r="D245" s="16">
        <f t="shared" si="25"/>
        <v>50</v>
      </c>
      <c r="E245" s="34">
        <f t="shared" si="26"/>
        <v>0.14000000000000001</v>
      </c>
      <c r="F245" s="11">
        <f t="shared" si="30"/>
        <v>33</v>
      </c>
      <c r="G245" s="116"/>
      <c r="H245" s="118"/>
      <c r="I245" s="118"/>
      <c r="J245" s="124">
        <f t="shared" si="31"/>
        <v>7.0000000000000009</v>
      </c>
      <c r="N245" s="190"/>
      <c r="O245" s="194"/>
      <c r="P245" s="190"/>
      <c r="Q245" s="194"/>
      <c r="R245" s="190"/>
      <c r="S245" s="195"/>
    </row>
    <row r="246" spans="2:19" outlineLevel="1" x14ac:dyDescent="0.3">
      <c r="B246" s="47"/>
      <c r="C246" s="12"/>
      <c r="D246" s="16">
        <f t="shared" si="25"/>
        <v>50</v>
      </c>
      <c r="E246" s="34">
        <f t="shared" si="26"/>
        <v>0.14000000000000001</v>
      </c>
      <c r="F246" s="11">
        <f t="shared" si="30"/>
        <v>34</v>
      </c>
      <c r="G246" s="116"/>
      <c r="H246" s="118"/>
      <c r="I246" s="118"/>
      <c r="J246" s="124">
        <f t="shared" si="31"/>
        <v>7.0000000000000009</v>
      </c>
      <c r="N246" s="190"/>
      <c r="O246" s="194"/>
      <c r="P246" s="190"/>
      <c r="Q246" s="194"/>
      <c r="R246" s="190"/>
      <c r="S246" s="195"/>
    </row>
    <row r="247" spans="2:19" outlineLevel="1" x14ac:dyDescent="0.3">
      <c r="B247" s="47"/>
      <c r="C247" s="12"/>
      <c r="D247" s="16">
        <f t="shared" si="25"/>
        <v>50</v>
      </c>
      <c r="E247" s="34">
        <f t="shared" si="26"/>
        <v>0.14000000000000001</v>
      </c>
      <c r="F247" s="11">
        <f t="shared" si="30"/>
        <v>35</v>
      </c>
      <c r="G247" s="116"/>
      <c r="H247" s="118"/>
      <c r="I247" s="118"/>
      <c r="J247" s="124">
        <f t="shared" si="31"/>
        <v>7.0000000000000009</v>
      </c>
      <c r="N247" s="190"/>
      <c r="O247" s="194"/>
      <c r="P247" s="190"/>
      <c r="Q247" s="194"/>
      <c r="R247" s="190"/>
      <c r="S247" s="195"/>
    </row>
    <row r="248" spans="2:19" outlineLevel="1" x14ac:dyDescent="0.3">
      <c r="B248" s="47"/>
      <c r="C248" s="12"/>
      <c r="D248" s="16">
        <f t="shared" si="25"/>
        <v>50</v>
      </c>
      <c r="E248" s="34">
        <f t="shared" si="26"/>
        <v>0.14000000000000001</v>
      </c>
      <c r="F248" s="11">
        <f t="shared" si="30"/>
        <v>36</v>
      </c>
      <c r="G248" s="116"/>
      <c r="H248" s="118"/>
      <c r="I248" s="118"/>
      <c r="J248" s="124">
        <f t="shared" si="31"/>
        <v>7.0000000000000009</v>
      </c>
      <c r="N248" s="190"/>
      <c r="O248" s="194"/>
      <c r="P248" s="190"/>
      <c r="Q248" s="194"/>
      <c r="R248" s="190"/>
      <c r="S248" s="195"/>
    </row>
    <row r="249" spans="2:19" outlineLevel="1" x14ac:dyDescent="0.3">
      <c r="B249" s="47"/>
      <c r="C249" s="12"/>
      <c r="D249" s="16">
        <f t="shared" si="25"/>
        <v>50</v>
      </c>
      <c r="E249" s="34">
        <f t="shared" si="26"/>
        <v>0.14000000000000001</v>
      </c>
      <c r="F249" s="11">
        <f t="shared" si="30"/>
        <v>37</v>
      </c>
      <c r="G249" s="116"/>
      <c r="H249" s="118"/>
      <c r="I249" s="118"/>
      <c r="J249" s="124">
        <f t="shared" si="31"/>
        <v>7.0000000000000009</v>
      </c>
      <c r="N249" s="190"/>
      <c r="O249" s="194"/>
      <c r="P249" s="190"/>
      <c r="Q249" s="194"/>
      <c r="R249" s="190"/>
      <c r="S249" s="195"/>
    </row>
    <row r="250" spans="2:19" outlineLevel="1" x14ac:dyDescent="0.3">
      <c r="B250" s="47"/>
      <c r="C250" s="12"/>
      <c r="D250" s="16">
        <f t="shared" si="25"/>
        <v>50</v>
      </c>
      <c r="E250" s="34">
        <f t="shared" si="26"/>
        <v>0.14000000000000001</v>
      </c>
      <c r="F250" s="11">
        <f t="shared" si="30"/>
        <v>38</v>
      </c>
      <c r="G250" s="116"/>
      <c r="H250" s="118"/>
      <c r="I250" s="118"/>
      <c r="J250" s="124">
        <f t="shared" si="31"/>
        <v>7.0000000000000009</v>
      </c>
      <c r="N250" s="190"/>
      <c r="O250" s="194"/>
      <c r="P250" s="190"/>
      <c r="Q250" s="194"/>
      <c r="R250" s="190"/>
      <c r="S250" s="195"/>
    </row>
    <row r="251" spans="2:19" outlineLevel="1" x14ac:dyDescent="0.3">
      <c r="B251" s="47"/>
      <c r="C251" s="12"/>
      <c r="D251" s="16">
        <f t="shared" si="25"/>
        <v>50</v>
      </c>
      <c r="E251" s="34">
        <f t="shared" si="26"/>
        <v>0.14000000000000001</v>
      </c>
      <c r="F251" s="11">
        <f t="shared" si="30"/>
        <v>39</v>
      </c>
      <c r="G251" s="116"/>
      <c r="H251" s="118"/>
      <c r="I251" s="118"/>
      <c r="J251" s="124">
        <f t="shared" si="31"/>
        <v>7.0000000000000009</v>
      </c>
      <c r="N251" s="190"/>
      <c r="O251" s="194"/>
      <c r="P251" s="190"/>
      <c r="Q251" s="194"/>
      <c r="R251" s="190"/>
      <c r="S251" s="195"/>
    </row>
    <row r="252" spans="2:19" outlineLevel="1" x14ac:dyDescent="0.3">
      <c r="B252" s="47"/>
      <c r="C252" s="12"/>
      <c r="D252" s="16">
        <f t="shared" si="25"/>
        <v>50</v>
      </c>
      <c r="E252" s="34">
        <f t="shared" si="26"/>
        <v>0.14000000000000001</v>
      </c>
      <c r="F252" s="11">
        <f t="shared" si="30"/>
        <v>40</v>
      </c>
      <c r="G252" s="116"/>
      <c r="H252" s="118"/>
      <c r="I252" s="118"/>
      <c r="J252" s="124">
        <f t="shared" si="31"/>
        <v>7.0000000000000009</v>
      </c>
      <c r="N252" s="190"/>
      <c r="O252" s="194"/>
      <c r="P252" s="190"/>
      <c r="Q252" s="194"/>
      <c r="R252" s="190"/>
      <c r="S252" s="195"/>
    </row>
    <row r="253" spans="2:19" outlineLevel="1" x14ac:dyDescent="0.3">
      <c r="B253" s="47"/>
      <c r="C253" s="12"/>
      <c r="D253" s="16">
        <f t="shared" si="25"/>
        <v>50</v>
      </c>
      <c r="E253" s="34">
        <f t="shared" si="26"/>
        <v>0.14000000000000001</v>
      </c>
      <c r="F253" s="11">
        <f t="shared" si="30"/>
        <v>41</v>
      </c>
      <c r="G253" s="116"/>
      <c r="H253" s="118"/>
      <c r="I253" s="118"/>
      <c r="J253" s="124">
        <f t="shared" si="31"/>
        <v>7.0000000000000009</v>
      </c>
      <c r="N253" s="190"/>
      <c r="O253" s="194"/>
      <c r="P253" s="190"/>
      <c r="Q253" s="194"/>
      <c r="R253" s="190"/>
      <c r="S253" s="195"/>
    </row>
    <row r="254" spans="2:19" outlineLevel="1" x14ac:dyDescent="0.3">
      <c r="B254" s="47"/>
      <c r="C254" s="12"/>
      <c r="D254" s="16">
        <f t="shared" si="25"/>
        <v>50</v>
      </c>
      <c r="E254" s="34">
        <f t="shared" si="26"/>
        <v>0.14000000000000001</v>
      </c>
      <c r="F254" s="11">
        <f t="shared" si="30"/>
        <v>42</v>
      </c>
      <c r="G254" s="116"/>
      <c r="H254" s="118"/>
      <c r="I254" s="118"/>
      <c r="J254" s="124">
        <f t="shared" si="31"/>
        <v>7.0000000000000009</v>
      </c>
      <c r="N254" s="190"/>
      <c r="O254" s="194"/>
      <c r="P254" s="190"/>
      <c r="Q254" s="194"/>
      <c r="R254" s="190"/>
      <c r="S254" s="195"/>
    </row>
    <row r="255" spans="2:19" outlineLevel="1" x14ac:dyDescent="0.3">
      <c r="B255" s="47"/>
      <c r="C255" s="12"/>
      <c r="D255" s="16">
        <f t="shared" si="25"/>
        <v>50</v>
      </c>
      <c r="E255" s="34">
        <f t="shared" si="26"/>
        <v>0.14000000000000001</v>
      </c>
      <c r="F255" s="11">
        <f t="shared" si="30"/>
        <v>43</v>
      </c>
      <c r="G255" s="116"/>
      <c r="H255" s="118"/>
      <c r="I255" s="118"/>
      <c r="J255" s="124">
        <f t="shared" si="31"/>
        <v>7.0000000000000009</v>
      </c>
      <c r="N255" s="190"/>
      <c r="O255" s="194"/>
      <c r="P255" s="190"/>
      <c r="Q255" s="194"/>
      <c r="R255" s="190"/>
      <c r="S255" s="195"/>
    </row>
    <row r="256" spans="2:19" outlineLevel="1" x14ac:dyDescent="0.3">
      <c r="B256" s="47"/>
      <c r="C256" s="12"/>
      <c r="D256" s="16">
        <f t="shared" si="25"/>
        <v>50</v>
      </c>
      <c r="E256" s="34">
        <f t="shared" si="26"/>
        <v>0.14000000000000001</v>
      </c>
      <c r="F256" s="11">
        <f t="shared" si="30"/>
        <v>44</v>
      </c>
      <c r="G256" s="116"/>
      <c r="H256" s="118"/>
      <c r="I256" s="118"/>
      <c r="J256" s="124">
        <f t="shared" si="31"/>
        <v>7.0000000000000009</v>
      </c>
      <c r="N256" s="190"/>
      <c r="O256" s="194"/>
      <c r="P256" s="190"/>
      <c r="Q256" s="194"/>
      <c r="R256" s="190"/>
      <c r="S256" s="195"/>
    </row>
    <row r="257" spans="2:19" outlineLevel="1" x14ac:dyDescent="0.3">
      <c r="B257" s="47"/>
      <c r="C257" s="12"/>
      <c r="D257" s="16">
        <f t="shared" si="25"/>
        <v>50</v>
      </c>
      <c r="E257" s="34">
        <f t="shared" si="26"/>
        <v>0.14000000000000001</v>
      </c>
      <c r="F257" s="11">
        <f t="shared" si="30"/>
        <v>45</v>
      </c>
      <c r="G257" s="116"/>
      <c r="H257" s="118"/>
      <c r="I257" s="118"/>
      <c r="J257" s="124">
        <f t="shared" si="31"/>
        <v>7.0000000000000009</v>
      </c>
      <c r="N257" s="190"/>
      <c r="O257" s="194"/>
      <c r="P257" s="190"/>
      <c r="Q257" s="194"/>
      <c r="R257" s="190"/>
      <c r="S257" s="195"/>
    </row>
    <row r="258" spans="2:19" outlineLevel="1" x14ac:dyDescent="0.3">
      <c r="B258" s="47"/>
      <c r="C258" s="12"/>
      <c r="D258" s="16">
        <f t="shared" si="25"/>
        <v>50</v>
      </c>
      <c r="E258" s="34">
        <f t="shared" si="26"/>
        <v>0.14000000000000001</v>
      </c>
      <c r="F258" s="11">
        <f t="shared" si="30"/>
        <v>46</v>
      </c>
      <c r="G258" s="116"/>
      <c r="H258" s="118"/>
      <c r="I258" s="118"/>
      <c r="J258" s="124">
        <f t="shared" si="31"/>
        <v>7.0000000000000009</v>
      </c>
      <c r="N258" s="190"/>
      <c r="O258" s="194"/>
      <c r="P258" s="190"/>
      <c r="Q258" s="194"/>
      <c r="R258" s="190"/>
      <c r="S258" s="195"/>
    </row>
    <row r="259" spans="2:19" outlineLevel="1" x14ac:dyDescent="0.3">
      <c r="B259" s="47"/>
      <c r="C259" s="12"/>
      <c r="D259" s="16">
        <f t="shared" si="25"/>
        <v>50</v>
      </c>
      <c r="E259" s="34">
        <f t="shared" si="26"/>
        <v>0.14000000000000001</v>
      </c>
      <c r="F259" s="11">
        <f t="shared" si="30"/>
        <v>47</v>
      </c>
      <c r="G259" s="116"/>
      <c r="H259" s="118"/>
      <c r="I259" s="118"/>
      <c r="J259" s="124">
        <f t="shared" si="31"/>
        <v>7.0000000000000009</v>
      </c>
      <c r="N259" s="190"/>
      <c r="O259" s="194"/>
      <c r="P259" s="190"/>
      <c r="Q259" s="194"/>
      <c r="R259" s="190"/>
      <c r="S259" s="195"/>
    </row>
    <row r="260" spans="2:19" outlineLevel="1" x14ac:dyDescent="0.3">
      <c r="B260" s="47"/>
      <c r="C260" s="12"/>
      <c r="D260" s="16">
        <f t="shared" si="25"/>
        <v>50</v>
      </c>
      <c r="E260" s="34">
        <f t="shared" si="26"/>
        <v>0.14000000000000001</v>
      </c>
      <c r="F260" s="11">
        <f t="shared" si="30"/>
        <v>48</v>
      </c>
      <c r="G260" s="116"/>
      <c r="H260" s="118"/>
      <c r="I260" s="118"/>
      <c r="J260" s="124">
        <f t="shared" si="31"/>
        <v>7.0000000000000009</v>
      </c>
      <c r="N260" s="190"/>
      <c r="O260" s="194"/>
      <c r="P260" s="190"/>
      <c r="Q260" s="194"/>
      <c r="R260" s="190"/>
      <c r="S260" s="195"/>
    </row>
    <row r="261" spans="2:19" outlineLevel="1" x14ac:dyDescent="0.3">
      <c r="B261" s="47"/>
      <c r="C261" s="12"/>
      <c r="D261" s="16">
        <f t="shared" si="25"/>
        <v>50</v>
      </c>
      <c r="E261" s="34">
        <f t="shared" si="26"/>
        <v>0.14000000000000001</v>
      </c>
      <c r="F261" s="11">
        <f t="shared" si="30"/>
        <v>49</v>
      </c>
      <c r="G261" s="116"/>
      <c r="H261" s="118"/>
      <c r="I261" s="118"/>
      <c r="J261" s="124">
        <f t="shared" si="31"/>
        <v>7.0000000000000009</v>
      </c>
      <c r="N261" s="190"/>
      <c r="O261" s="194"/>
      <c r="P261" s="190"/>
      <c r="Q261" s="194"/>
      <c r="R261" s="190"/>
      <c r="S261" s="195"/>
    </row>
    <row r="262" spans="2:19" outlineLevel="1" x14ac:dyDescent="0.3">
      <c r="B262" s="47"/>
      <c r="C262" s="12"/>
      <c r="D262" s="16">
        <f t="shared" si="25"/>
        <v>50</v>
      </c>
      <c r="E262" s="34">
        <f t="shared" si="26"/>
        <v>0.14000000000000001</v>
      </c>
      <c r="F262" s="11">
        <f t="shared" si="30"/>
        <v>50</v>
      </c>
      <c r="G262" s="116"/>
      <c r="H262" s="118"/>
      <c r="I262" s="118"/>
      <c r="J262" s="124">
        <f t="shared" si="31"/>
        <v>7.0000000000000009</v>
      </c>
      <c r="N262" s="190"/>
      <c r="O262" s="194"/>
      <c r="P262" s="190"/>
      <c r="Q262" s="194"/>
      <c r="R262" s="190"/>
      <c r="S262" s="195"/>
    </row>
    <row r="263" spans="2:19" outlineLevel="1" x14ac:dyDescent="0.3">
      <c r="B263" s="47"/>
      <c r="C263" s="12"/>
      <c r="D263" s="16">
        <f t="shared" si="25"/>
        <v>50</v>
      </c>
      <c r="E263" s="34">
        <f t="shared" si="26"/>
        <v>0.14000000000000001</v>
      </c>
      <c r="F263" s="11">
        <f t="shared" si="30"/>
        <v>51</v>
      </c>
      <c r="G263" s="116"/>
      <c r="H263" s="118"/>
      <c r="I263" s="118"/>
      <c r="J263" s="124">
        <f t="shared" si="31"/>
        <v>7.0000000000000009</v>
      </c>
      <c r="N263" s="190"/>
      <c r="O263" s="194"/>
      <c r="P263" s="190"/>
      <c r="Q263" s="194"/>
      <c r="R263" s="190"/>
      <c r="S263" s="195"/>
    </row>
    <row r="264" spans="2:19" outlineLevel="1" x14ac:dyDescent="0.3">
      <c r="B264" s="47"/>
      <c r="C264" s="12"/>
      <c r="D264" s="16">
        <f t="shared" si="25"/>
        <v>50</v>
      </c>
      <c r="E264" s="34">
        <f t="shared" si="26"/>
        <v>0.14000000000000001</v>
      </c>
      <c r="F264" s="11">
        <f t="shared" si="30"/>
        <v>52</v>
      </c>
      <c r="G264" s="116"/>
      <c r="H264" s="118"/>
      <c r="I264" s="118"/>
      <c r="J264" s="124">
        <f t="shared" si="31"/>
        <v>7.0000000000000009</v>
      </c>
      <c r="N264" s="190"/>
      <c r="O264" s="194"/>
      <c r="P264" s="190"/>
      <c r="Q264" s="194"/>
      <c r="R264" s="190"/>
      <c r="S264" s="195"/>
    </row>
    <row r="265" spans="2:19" outlineLevel="1" x14ac:dyDescent="0.3">
      <c r="B265" s="47"/>
      <c r="C265" s="12"/>
      <c r="D265" s="16">
        <f t="shared" si="25"/>
        <v>50</v>
      </c>
      <c r="E265" s="34">
        <f t="shared" si="26"/>
        <v>0.14000000000000001</v>
      </c>
      <c r="F265" s="11">
        <f t="shared" si="30"/>
        <v>53</v>
      </c>
      <c r="G265" s="116"/>
      <c r="H265" s="118"/>
      <c r="I265" s="118"/>
      <c r="J265" s="124">
        <f t="shared" si="31"/>
        <v>7.0000000000000009</v>
      </c>
      <c r="N265" s="190"/>
      <c r="O265" s="194"/>
      <c r="P265" s="190"/>
      <c r="Q265" s="194"/>
      <c r="R265" s="190"/>
      <c r="S265" s="195"/>
    </row>
    <row r="266" spans="2:19" outlineLevel="1" x14ac:dyDescent="0.3">
      <c r="B266" s="47"/>
      <c r="C266" s="12"/>
      <c r="D266" s="16">
        <f t="shared" si="25"/>
        <v>50</v>
      </c>
      <c r="E266" s="34">
        <f t="shared" si="26"/>
        <v>0.14000000000000001</v>
      </c>
      <c r="F266" s="11">
        <f t="shared" si="30"/>
        <v>54</v>
      </c>
      <c r="G266" s="116"/>
      <c r="H266" s="118"/>
      <c r="I266" s="118"/>
      <c r="J266" s="124">
        <f t="shared" si="31"/>
        <v>7.0000000000000009</v>
      </c>
      <c r="N266" s="190"/>
      <c r="O266" s="194"/>
      <c r="P266" s="190"/>
      <c r="Q266" s="194"/>
      <c r="R266" s="190"/>
      <c r="S266" s="195"/>
    </row>
    <row r="267" spans="2:19" outlineLevel="1" x14ac:dyDescent="0.3">
      <c r="B267" s="47"/>
      <c r="C267" s="12"/>
      <c r="D267" s="16">
        <f t="shared" si="25"/>
        <v>50</v>
      </c>
      <c r="E267" s="34">
        <f t="shared" si="26"/>
        <v>0.14000000000000001</v>
      </c>
      <c r="F267" s="11">
        <f t="shared" si="30"/>
        <v>55</v>
      </c>
      <c r="G267" s="116"/>
      <c r="H267" s="118"/>
      <c r="I267" s="118"/>
      <c r="J267" s="124">
        <f t="shared" si="31"/>
        <v>7.0000000000000009</v>
      </c>
      <c r="N267" s="190"/>
      <c r="O267" s="194"/>
      <c r="P267" s="190"/>
      <c r="Q267" s="194"/>
      <c r="R267" s="190"/>
      <c r="S267" s="195"/>
    </row>
    <row r="268" spans="2:19" outlineLevel="1" x14ac:dyDescent="0.3">
      <c r="B268" s="47"/>
      <c r="C268" s="12"/>
      <c r="D268" s="16">
        <f t="shared" si="25"/>
        <v>50</v>
      </c>
      <c r="E268" s="34">
        <f t="shared" si="26"/>
        <v>0.14000000000000001</v>
      </c>
      <c r="F268" s="11">
        <f t="shared" si="30"/>
        <v>56</v>
      </c>
      <c r="G268" s="116"/>
      <c r="H268" s="118"/>
      <c r="I268" s="118"/>
      <c r="J268" s="124">
        <f t="shared" si="31"/>
        <v>7.0000000000000009</v>
      </c>
      <c r="N268" s="190"/>
      <c r="O268" s="194"/>
      <c r="P268" s="190"/>
      <c r="Q268" s="194"/>
      <c r="R268" s="190"/>
      <c r="S268" s="195"/>
    </row>
    <row r="269" spans="2:19" outlineLevel="1" x14ac:dyDescent="0.3">
      <c r="B269" s="47"/>
      <c r="C269" s="12"/>
      <c r="D269" s="16">
        <f t="shared" si="25"/>
        <v>50</v>
      </c>
      <c r="E269" s="34">
        <f t="shared" si="26"/>
        <v>0.14000000000000001</v>
      </c>
      <c r="F269" s="11">
        <f t="shared" si="30"/>
        <v>57</v>
      </c>
      <c r="G269" s="116"/>
      <c r="H269" s="118"/>
      <c r="I269" s="118"/>
      <c r="J269" s="124">
        <f t="shared" si="31"/>
        <v>7.0000000000000009</v>
      </c>
      <c r="N269" s="190"/>
      <c r="O269" s="194"/>
      <c r="P269" s="190"/>
      <c r="Q269" s="194"/>
      <c r="R269" s="190"/>
      <c r="S269" s="195"/>
    </row>
    <row r="270" spans="2:19" outlineLevel="1" x14ac:dyDescent="0.3">
      <c r="B270" s="47"/>
      <c r="C270" s="12"/>
      <c r="D270" s="16">
        <f t="shared" si="25"/>
        <v>50</v>
      </c>
      <c r="E270" s="34">
        <f t="shared" si="26"/>
        <v>0.14000000000000001</v>
      </c>
      <c r="F270" s="11">
        <f t="shared" si="30"/>
        <v>58</v>
      </c>
      <c r="G270" s="116"/>
      <c r="H270" s="118"/>
      <c r="I270" s="118"/>
      <c r="J270" s="124">
        <f t="shared" si="31"/>
        <v>7.0000000000000009</v>
      </c>
      <c r="N270" s="190"/>
      <c r="O270" s="194"/>
      <c r="P270" s="190"/>
      <c r="Q270" s="194"/>
      <c r="R270" s="190"/>
      <c r="S270" s="195"/>
    </row>
    <row r="271" spans="2:19" outlineLevel="1" x14ac:dyDescent="0.3">
      <c r="B271" s="47"/>
      <c r="C271" s="12"/>
      <c r="D271" s="16">
        <f t="shared" si="25"/>
        <v>50</v>
      </c>
      <c r="E271" s="34">
        <f t="shared" si="26"/>
        <v>0.14000000000000001</v>
      </c>
      <c r="F271" s="11">
        <f t="shared" si="30"/>
        <v>59</v>
      </c>
      <c r="G271" s="116"/>
      <c r="H271" s="118"/>
      <c r="I271" s="118"/>
      <c r="J271" s="124">
        <f t="shared" si="31"/>
        <v>7.0000000000000009</v>
      </c>
      <c r="N271" s="190"/>
      <c r="O271" s="194"/>
      <c r="P271" s="190"/>
      <c r="Q271" s="194"/>
      <c r="R271" s="190"/>
      <c r="S271" s="195"/>
    </row>
    <row r="272" spans="2:19" outlineLevel="1" x14ac:dyDescent="0.3">
      <c r="B272" s="47"/>
      <c r="C272" s="12"/>
      <c r="D272" s="16">
        <f t="shared" si="25"/>
        <v>50</v>
      </c>
      <c r="E272" s="34">
        <f t="shared" si="26"/>
        <v>0.14000000000000001</v>
      </c>
      <c r="F272" s="11">
        <f t="shared" si="30"/>
        <v>60</v>
      </c>
      <c r="G272" s="116"/>
      <c r="H272" s="118"/>
      <c r="I272" s="118"/>
      <c r="J272" s="124">
        <f t="shared" si="31"/>
        <v>7.0000000000000009</v>
      </c>
      <c r="N272" s="190"/>
      <c r="O272" s="194"/>
      <c r="P272" s="190"/>
      <c r="Q272" s="194"/>
      <c r="R272" s="190"/>
      <c r="S272" s="195"/>
    </row>
    <row r="273" spans="2:19" outlineLevel="1" x14ac:dyDescent="0.3">
      <c r="B273" s="47"/>
      <c r="C273" s="12"/>
      <c r="D273" s="16">
        <f t="shared" si="25"/>
        <v>50</v>
      </c>
      <c r="E273" s="34">
        <f t="shared" si="26"/>
        <v>0.14000000000000001</v>
      </c>
      <c r="F273" s="11">
        <f t="shared" si="30"/>
        <v>61</v>
      </c>
      <c r="G273" s="116"/>
      <c r="H273" s="118"/>
      <c r="I273" s="118"/>
      <c r="J273" s="124">
        <f t="shared" si="31"/>
        <v>7.0000000000000009</v>
      </c>
      <c r="N273" s="190"/>
      <c r="O273" s="194"/>
      <c r="P273" s="190"/>
      <c r="Q273" s="194"/>
      <c r="R273" s="190"/>
      <c r="S273" s="195"/>
    </row>
    <row r="274" spans="2:19" outlineLevel="1" x14ac:dyDescent="0.3">
      <c r="B274" s="47"/>
      <c r="C274" s="12"/>
      <c r="D274" s="16">
        <f t="shared" si="25"/>
        <v>50</v>
      </c>
      <c r="E274" s="34">
        <f t="shared" si="26"/>
        <v>0.14000000000000001</v>
      </c>
      <c r="F274" s="11">
        <f t="shared" si="30"/>
        <v>62</v>
      </c>
      <c r="G274" s="116"/>
      <c r="H274" s="118"/>
      <c r="I274" s="118"/>
      <c r="J274" s="124">
        <f t="shared" si="31"/>
        <v>7.0000000000000009</v>
      </c>
      <c r="N274" s="190"/>
      <c r="O274" s="194"/>
      <c r="P274" s="190"/>
      <c r="Q274" s="194"/>
      <c r="R274" s="190"/>
      <c r="S274" s="195"/>
    </row>
    <row r="275" spans="2:19" outlineLevel="1" x14ac:dyDescent="0.3">
      <c r="B275" s="47"/>
      <c r="C275" s="12"/>
      <c r="D275" s="16">
        <f t="shared" si="25"/>
        <v>50</v>
      </c>
      <c r="E275" s="34">
        <f t="shared" si="26"/>
        <v>0.14000000000000001</v>
      </c>
      <c r="F275" s="11">
        <f t="shared" si="30"/>
        <v>63</v>
      </c>
      <c r="G275" s="116"/>
      <c r="H275" s="118"/>
      <c r="I275" s="118"/>
      <c r="J275" s="124">
        <f t="shared" si="31"/>
        <v>7.0000000000000009</v>
      </c>
      <c r="N275" s="190"/>
      <c r="O275" s="194"/>
      <c r="P275" s="190"/>
      <c r="Q275" s="194"/>
      <c r="R275" s="190"/>
      <c r="S275" s="195"/>
    </row>
    <row r="276" spans="2:19" outlineLevel="1" x14ac:dyDescent="0.3">
      <c r="B276" s="47"/>
      <c r="C276" s="12"/>
      <c r="D276" s="16">
        <f t="shared" si="25"/>
        <v>50</v>
      </c>
      <c r="E276" s="34">
        <f t="shared" si="26"/>
        <v>0.14000000000000001</v>
      </c>
      <c r="F276" s="11">
        <f t="shared" si="30"/>
        <v>64</v>
      </c>
      <c r="G276" s="116"/>
      <c r="H276" s="118"/>
      <c r="I276" s="118"/>
      <c r="J276" s="124">
        <f t="shared" si="31"/>
        <v>7.0000000000000009</v>
      </c>
      <c r="N276" s="190"/>
      <c r="O276" s="194"/>
      <c r="P276" s="190"/>
      <c r="Q276" s="194"/>
      <c r="R276" s="190"/>
      <c r="S276" s="195"/>
    </row>
    <row r="277" spans="2:19" outlineLevel="1" x14ac:dyDescent="0.3">
      <c r="B277" s="47"/>
      <c r="C277" s="12"/>
      <c r="D277" s="16">
        <f t="shared" si="25"/>
        <v>50</v>
      </c>
      <c r="E277" s="34">
        <f t="shared" si="26"/>
        <v>0.14000000000000001</v>
      </c>
      <c r="F277" s="11">
        <f t="shared" si="30"/>
        <v>65</v>
      </c>
      <c r="G277" s="116"/>
      <c r="H277" s="118"/>
      <c r="I277" s="118"/>
      <c r="J277" s="124">
        <f t="shared" si="31"/>
        <v>7.0000000000000009</v>
      </c>
      <c r="N277" s="190"/>
      <c r="O277" s="194"/>
      <c r="P277" s="190"/>
      <c r="Q277" s="194"/>
      <c r="R277" s="190"/>
      <c r="S277" s="195"/>
    </row>
    <row r="278" spans="2:19" outlineLevel="1" x14ac:dyDescent="0.3">
      <c r="B278" s="47"/>
      <c r="C278" s="12"/>
      <c r="D278" s="16">
        <f t="shared" ref="D278:D332" si="32">$C$22/($C$23*12)</f>
        <v>50</v>
      </c>
      <c r="E278" s="34">
        <f t="shared" ref="E278:E332" si="33">$C$24</f>
        <v>0.14000000000000001</v>
      </c>
      <c r="F278" s="11">
        <f t="shared" si="30"/>
        <v>66</v>
      </c>
      <c r="G278" s="116"/>
      <c r="H278" s="118"/>
      <c r="I278" s="118"/>
      <c r="J278" s="124">
        <f t="shared" si="31"/>
        <v>7.0000000000000009</v>
      </c>
      <c r="N278" s="190"/>
      <c r="O278" s="194"/>
      <c r="P278" s="190"/>
      <c r="Q278" s="194"/>
      <c r="R278" s="190"/>
      <c r="S278" s="195"/>
    </row>
    <row r="279" spans="2:19" outlineLevel="1" x14ac:dyDescent="0.3">
      <c r="B279" s="47"/>
      <c r="C279" s="12"/>
      <c r="D279" s="16">
        <f t="shared" si="32"/>
        <v>50</v>
      </c>
      <c r="E279" s="34">
        <f t="shared" si="33"/>
        <v>0.14000000000000001</v>
      </c>
      <c r="F279" s="11">
        <f t="shared" si="30"/>
        <v>67</v>
      </c>
      <c r="G279" s="116"/>
      <c r="H279" s="118"/>
      <c r="I279" s="118"/>
      <c r="J279" s="124">
        <f t="shared" si="31"/>
        <v>7.0000000000000009</v>
      </c>
      <c r="N279" s="190"/>
      <c r="O279" s="194"/>
      <c r="P279" s="190"/>
      <c r="Q279" s="194"/>
      <c r="R279" s="190"/>
      <c r="S279" s="195"/>
    </row>
    <row r="280" spans="2:19" outlineLevel="1" x14ac:dyDescent="0.3">
      <c r="B280" s="47"/>
      <c r="C280" s="12"/>
      <c r="D280" s="16">
        <f t="shared" si="32"/>
        <v>50</v>
      </c>
      <c r="E280" s="34">
        <f t="shared" si="33"/>
        <v>0.14000000000000001</v>
      </c>
      <c r="F280" s="11">
        <f t="shared" ref="F280:F332" si="34">F279+1</f>
        <v>68</v>
      </c>
      <c r="G280" s="116"/>
      <c r="H280" s="118"/>
      <c r="I280" s="118"/>
      <c r="J280" s="124">
        <f t="shared" si="31"/>
        <v>7.0000000000000009</v>
      </c>
      <c r="N280" s="190"/>
      <c r="O280" s="194"/>
      <c r="P280" s="190"/>
      <c r="Q280" s="194"/>
      <c r="R280" s="190"/>
      <c r="S280" s="195"/>
    </row>
    <row r="281" spans="2:19" outlineLevel="1" x14ac:dyDescent="0.3">
      <c r="B281" s="47"/>
      <c r="C281" s="12"/>
      <c r="D281" s="16">
        <f t="shared" si="32"/>
        <v>50</v>
      </c>
      <c r="E281" s="34">
        <f t="shared" si="33"/>
        <v>0.14000000000000001</v>
      </c>
      <c r="F281" s="11">
        <f t="shared" si="34"/>
        <v>69</v>
      </c>
      <c r="G281" s="116"/>
      <c r="H281" s="118"/>
      <c r="I281" s="118"/>
      <c r="J281" s="124">
        <f t="shared" si="31"/>
        <v>7.0000000000000009</v>
      </c>
      <c r="N281" s="190"/>
      <c r="O281" s="194"/>
      <c r="P281" s="190"/>
      <c r="Q281" s="194"/>
      <c r="R281" s="190"/>
      <c r="S281" s="195"/>
    </row>
    <row r="282" spans="2:19" outlineLevel="1" x14ac:dyDescent="0.3">
      <c r="B282" s="47"/>
      <c r="C282" s="12"/>
      <c r="D282" s="16">
        <f t="shared" si="32"/>
        <v>50</v>
      </c>
      <c r="E282" s="34">
        <f t="shared" si="33"/>
        <v>0.14000000000000001</v>
      </c>
      <c r="F282" s="11">
        <f t="shared" si="34"/>
        <v>70</v>
      </c>
      <c r="G282" s="116"/>
      <c r="H282" s="118"/>
      <c r="I282" s="118"/>
      <c r="J282" s="124">
        <f t="shared" si="31"/>
        <v>7.0000000000000009</v>
      </c>
      <c r="N282" s="190"/>
      <c r="O282" s="194"/>
      <c r="P282" s="190"/>
      <c r="Q282" s="194"/>
      <c r="R282" s="190"/>
      <c r="S282" s="195"/>
    </row>
    <row r="283" spans="2:19" outlineLevel="1" x14ac:dyDescent="0.3">
      <c r="B283" s="47"/>
      <c r="C283" s="12"/>
      <c r="D283" s="16">
        <f t="shared" si="32"/>
        <v>50</v>
      </c>
      <c r="E283" s="34">
        <f t="shared" si="33"/>
        <v>0.14000000000000001</v>
      </c>
      <c r="F283" s="11">
        <f t="shared" si="34"/>
        <v>71</v>
      </c>
      <c r="G283" s="116"/>
      <c r="H283" s="118"/>
      <c r="I283" s="118"/>
      <c r="J283" s="124">
        <f t="shared" si="31"/>
        <v>7.0000000000000009</v>
      </c>
      <c r="N283" s="190"/>
      <c r="O283" s="194"/>
      <c r="P283" s="190"/>
      <c r="Q283" s="194"/>
      <c r="R283" s="190"/>
      <c r="S283" s="195"/>
    </row>
    <row r="284" spans="2:19" outlineLevel="1" x14ac:dyDescent="0.3">
      <c r="B284" s="47"/>
      <c r="C284" s="12"/>
      <c r="D284" s="16">
        <f t="shared" si="32"/>
        <v>50</v>
      </c>
      <c r="E284" s="34">
        <f t="shared" si="33"/>
        <v>0.14000000000000001</v>
      </c>
      <c r="F284" s="11">
        <f t="shared" si="34"/>
        <v>72</v>
      </c>
      <c r="G284" s="116"/>
      <c r="H284" s="118"/>
      <c r="I284" s="118"/>
      <c r="J284" s="124">
        <f t="shared" si="31"/>
        <v>7.0000000000000009</v>
      </c>
      <c r="N284" s="190"/>
      <c r="O284" s="194"/>
      <c r="P284" s="190"/>
      <c r="Q284" s="194"/>
      <c r="R284" s="190"/>
      <c r="S284" s="195"/>
    </row>
    <row r="285" spans="2:19" outlineLevel="1" x14ac:dyDescent="0.3">
      <c r="B285" s="47"/>
      <c r="C285" s="12"/>
      <c r="D285" s="16">
        <f t="shared" si="32"/>
        <v>50</v>
      </c>
      <c r="E285" s="34">
        <f t="shared" si="33"/>
        <v>0.14000000000000001</v>
      </c>
      <c r="F285" s="11">
        <f t="shared" si="34"/>
        <v>73</v>
      </c>
      <c r="G285" s="116"/>
      <c r="H285" s="118"/>
      <c r="I285" s="118"/>
      <c r="J285" s="124">
        <f t="shared" si="31"/>
        <v>7.0000000000000009</v>
      </c>
      <c r="N285" s="190"/>
      <c r="O285" s="194"/>
      <c r="P285" s="190"/>
      <c r="Q285" s="194"/>
      <c r="R285" s="190"/>
      <c r="S285" s="195"/>
    </row>
    <row r="286" spans="2:19" outlineLevel="1" x14ac:dyDescent="0.3">
      <c r="B286" s="47"/>
      <c r="C286" s="12"/>
      <c r="D286" s="16">
        <f t="shared" si="32"/>
        <v>50</v>
      </c>
      <c r="E286" s="34">
        <f t="shared" si="33"/>
        <v>0.14000000000000001</v>
      </c>
      <c r="F286" s="11">
        <f t="shared" si="34"/>
        <v>74</v>
      </c>
      <c r="G286" s="116"/>
      <c r="H286" s="118"/>
      <c r="I286" s="118"/>
      <c r="J286" s="124">
        <f t="shared" si="31"/>
        <v>7.0000000000000009</v>
      </c>
      <c r="N286" s="190"/>
      <c r="O286" s="194"/>
      <c r="P286" s="190"/>
      <c r="Q286" s="194"/>
      <c r="R286" s="190"/>
      <c r="S286" s="195"/>
    </row>
    <row r="287" spans="2:19" outlineLevel="1" x14ac:dyDescent="0.3">
      <c r="B287" s="47"/>
      <c r="C287" s="12"/>
      <c r="D287" s="16">
        <f t="shared" si="32"/>
        <v>50</v>
      </c>
      <c r="E287" s="34">
        <f t="shared" si="33"/>
        <v>0.14000000000000001</v>
      </c>
      <c r="F287" s="11">
        <f t="shared" si="34"/>
        <v>75</v>
      </c>
      <c r="G287" s="116"/>
      <c r="H287" s="118"/>
      <c r="I287" s="118"/>
      <c r="J287" s="124">
        <f t="shared" si="31"/>
        <v>7.0000000000000009</v>
      </c>
      <c r="N287" s="190"/>
      <c r="O287" s="194"/>
      <c r="P287" s="190"/>
      <c r="Q287" s="194"/>
      <c r="R287" s="190"/>
      <c r="S287" s="195"/>
    </row>
    <row r="288" spans="2:19" outlineLevel="1" x14ac:dyDescent="0.3">
      <c r="B288" s="47"/>
      <c r="C288" s="12"/>
      <c r="D288" s="16">
        <f t="shared" si="32"/>
        <v>50</v>
      </c>
      <c r="E288" s="34">
        <f t="shared" si="33"/>
        <v>0.14000000000000001</v>
      </c>
      <c r="F288" s="11">
        <f t="shared" si="34"/>
        <v>76</v>
      </c>
      <c r="G288" s="116"/>
      <c r="H288" s="118"/>
      <c r="I288" s="118"/>
      <c r="J288" s="124">
        <f t="shared" si="31"/>
        <v>7.0000000000000009</v>
      </c>
      <c r="N288" s="190"/>
      <c r="O288" s="194"/>
      <c r="P288" s="190"/>
      <c r="Q288" s="194"/>
      <c r="R288" s="190"/>
      <c r="S288" s="195"/>
    </row>
    <row r="289" spans="2:19" outlineLevel="1" x14ac:dyDescent="0.3">
      <c r="B289" s="47"/>
      <c r="C289" s="12"/>
      <c r="D289" s="16">
        <f t="shared" si="32"/>
        <v>50</v>
      </c>
      <c r="E289" s="34">
        <f t="shared" si="33"/>
        <v>0.14000000000000001</v>
      </c>
      <c r="F289" s="11">
        <f t="shared" si="34"/>
        <v>77</v>
      </c>
      <c r="G289" s="116"/>
      <c r="H289" s="118"/>
      <c r="I289" s="118"/>
      <c r="J289" s="124">
        <f t="shared" si="31"/>
        <v>7.0000000000000009</v>
      </c>
      <c r="N289" s="190"/>
      <c r="O289" s="194"/>
      <c r="P289" s="190"/>
      <c r="Q289" s="194"/>
      <c r="R289" s="190"/>
      <c r="S289" s="195"/>
    </row>
    <row r="290" spans="2:19" outlineLevel="1" x14ac:dyDescent="0.3">
      <c r="B290" s="47"/>
      <c r="C290" s="12"/>
      <c r="D290" s="16">
        <f t="shared" si="32"/>
        <v>50</v>
      </c>
      <c r="E290" s="34">
        <f t="shared" si="33"/>
        <v>0.14000000000000001</v>
      </c>
      <c r="F290" s="11">
        <f t="shared" si="34"/>
        <v>78</v>
      </c>
      <c r="G290" s="116"/>
      <c r="H290" s="118"/>
      <c r="I290" s="118"/>
      <c r="J290" s="124">
        <f t="shared" ref="J290:J332" si="35">D290*E290</f>
        <v>7.0000000000000009</v>
      </c>
      <c r="N290" s="190"/>
      <c r="O290" s="194"/>
      <c r="P290" s="190"/>
      <c r="Q290" s="194"/>
      <c r="R290" s="190"/>
      <c r="S290" s="195"/>
    </row>
    <row r="291" spans="2:19" outlineLevel="1" x14ac:dyDescent="0.3">
      <c r="B291" s="47"/>
      <c r="C291" s="12"/>
      <c r="D291" s="16">
        <f t="shared" si="32"/>
        <v>50</v>
      </c>
      <c r="E291" s="34">
        <f t="shared" si="33"/>
        <v>0.14000000000000001</v>
      </c>
      <c r="F291" s="11">
        <f t="shared" si="34"/>
        <v>79</v>
      </c>
      <c r="G291" s="116"/>
      <c r="H291" s="118"/>
      <c r="I291" s="118"/>
      <c r="J291" s="124">
        <f t="shared" si="35"/>
        <v>7.0000000000000009</v>
      </c>
      <c r="N291" s="190"/>
      <c r="O291" s="194"/>
      <c r="P291" s="190"/>
      <c r="Q291" s="194"/>
      <c r="R291" s="190"/>
      <c r="S291" s="195"/>
    </row>
    <row r="292" spans="2:19" outlineLevel="1" x14ac:dyDescent="0.3">
      <c r="B292" s="47"/>
      <c r="C292" s="12"/>
      <c r="D292" s="16">
        <f t="shared" si="32"/>
        <v>50</v>
      </c>
      <c r="E292" s="34">
        <f t="shared" si="33"/>
        <v>0.14000000000000001</v>
      </c>
      <c r="F292" s="11">
        <f t="shared" si="34"/>
        <v>80</v>
      </c>
      <c r="G292" s="116"/>
      <c r="H292" s="118"/>
      <c r="I292" s="118"/>
      <c r="J292" s="124">
        <f t="shared" si="35"/>
        <v>7.0000000000000009</v>
      </c>
      <c r="N292" s="190"/>
      <c r="O292" s="194"/>
      <c r="P292" s="190"/>
      <c r="Q292" s="194"/>
      <c r="R292" s="190"/>
      <c r="S292" s="195"/>
    </row>
    <row r="293" spans="2:19" outlineLevel="1" x14ac:dyDescent="0.3">
      <c r="B293" s="47"/>
      <c r="C293" s="12"/>
      <c r="D293" s="16">
        <f t="shared" si="32"/>
        <v>50</v>
      </c>
      <c r="E293" s="34">
        <f t="shared" si="33"/>
        <v>0.14000000000000001</v>
      </c>
      <c r="F293" s="11">
        <f t="shared" si="34"/>
        <v>81</v>
      </c>
      <c r="G293" s="116"/>
      <c r="H293" s="118"/>
      <c r="I293" s="118"/>
      <c r="J293" s="124">
        <f t="shared" si="35"/>
        <v>7.0000000000000009</v>
      </c>
      <c r="N293" s="190"/>
      <c r="O293" s="194"/>
      <c r="P293" s="190"/>
      <c r="Q293" s="194"/>
      <c r="R293" s="190"/>
      <c r="S293" s="195"/>
    </row>
    <row r="294" spans="2:19" outlineLevel="1" x14ac:dyDescent="0.3">
      <c r="B294" s="47"/>
      <c r="C294" s="12"/>
      <c r="D294" s="16">
        <f t="shared" si="32"/>
        <v>50</v>
      </c>
      <c r="E294" s="34">
        <f t="shared" si="33"/>
        <v>0.14000000000000001</v>
      </c>
      <c r="F294" s="11">
        <f t="shared" si="34"/>
        <v>82</v>
      </c>
      <c r="G294" s="116"/>
      <c r="H294" s="118"/>
      <c r="I294" s="118"/>
      <c r="J294" s="124">
        <f t="shared" si="35"/>
        <v>7.0000000000000009</v>
      </c>
      <c r="N294" s="190"/>
      <c r="O294" s="194"/>
      <c r="P294" s="190"/>
      <c r="Q294" s="194"/>
      <c r="R294" s="190"/>
      <c r="S294" s="195"/>
    </row>
    <row r="295" spans="2:19" outlineLevel="1" x14ac:dyDescent="0.3">
      <c r="B295" s="47"/>
      <c r="C295" s="12"/>
      <c r="D295" s="16">
        <f t="shared" si="32"/>
        <v>50</v>
      </c>
      <c r="E295" s="34">
        <f t="shared" si="33"/>
        <v>0.14000000000000001</v>
      </c>
      <c r="F295" s="11">
        <f t="shared" si="34"/>
        <v>83</v>
      </c>
      <c r="G295" s="116"/>
      <c r="H295" s="118"/>
      <c r="I295" s="118"/>
      <c r="J295" s="124">
        <f t="shared" si="35"/>
        <v>7.0000000000000009</v>
      </c>
      <c r="N295" s="190"/>
      <c r="O295" s="194"/>
      <c r="P295" s="190"/>
      <c r="Q295" s="194"/>
      <c r="R295" s="190"/>
      <c r="S295" s="195"/>
    </row>
    <row r="296" spans="2:19" outlineLevel="1" x14ac:dyDescent="0.3">
      <c r="B296" s="47"/>
      <c r="C296" s="12"/>
      <c r="D296" s="16">
        <f t="shared" si="32"/>
        <v>50</v>
      </c>
      <c r="E296" s="34">
        <f t="shared" si="33"/>
        <v>0.14000000000000001</v>
      </c>
      <c r="F296" s="11">
        <f t="shared" si="34"/>
        <v>84</v>
      </c>
      <c r="G296" s="116"/>
      <c r="H296" s="118"/>
      <c r="I296" s="118"/>
      <c r="J296" s="124">
        <f t="shared" si="35"/>
        <v>7.0000000000000009</v>
      </c>
      <c r="N296" s="190"/>
      <c r="O296" s="194"/>
      <c r="P296" s="190"/>
      <c r="Q296" s="194"/>
      <c r="R296" s="190"/>
      <c r="S296" s="195"/>
    </row>
    <row r="297" spans="2:19" outlineLevel="1" x14ac:dyDescent="0.3">
      <c r="B297" s="47"/>
      <c r="C297" s="12"/>
      <c r="D297" s="16">
        <f t="shared" si="32"/>
        <v>50</v>
      </c>
      <c r="E297" s="34">
        <f t="shared" si="33"/>
        <v>0.14000000000000001</v>
      </c>
      <c r="F297" s="11">
        <f t="shared" si="34"/>
        <v>85</v>
      </c>
      <c r="G297" s="116"/>
      <c r="H297" s="118"/>
      <c r="I297" s="118"/>
      <c r="J297" s="124">
        <f t="shared" si="35"/>
        <v>7.0000000000000009</v>
      </c>
      <c r="N297" s="190"/>
      <c r="O297" s="194"/>
      <c r="P297" s="190"/>
      <c r="Q297" s="194"/>
      <c r="R297" s="190"/>
      <c r="S297" s="195"/>
    </row>
    <row r="298" spans="2:19" outlineLevel="1" x14ac:dyDescent="0.3">
      <c r="B298" s="47"/>
      <c r="C298" s="12"/>
      <c r="D298" s="16">
        <f t="shared" si="32"/>
        <v>50</v>
      </c>
      <c r="E298" s="34">
        <f t="shared" si="33"/>
        <v>0.14000000000000001</v>
      </c>
      <c r="F298" s="11">
        <f t="shared" si="34"/>
        <v>86</v>
      </c>
      <c r="G298" s="116"/>
      <c r="H298" s="118"/>
      <c r="I298" s="118"/>
      <c r="J298" s="124">
        <f t="shared" si="35"/>
        <v>7.0000000000000009</v>
      </c>
      <c r="N298" s="190"/>
      <c r="O298" s="194"/>
      <c r="P298" s="190"/>
      <c r="Q298" s="194"/>
      <c r="R298" s="190"/>
      <c r="S298" s="195"/>
    </row>
    <row r="299" spans="2:19" outlineLevel="1" x14ac:dyDescent="0.3">
      <c r="B299" s="47"/>
      <c r="C299" s="12"/>
      <c r="D299" s="16">
        <f t="shared" si="32"/>
        <v>50</v>
      </c>
      <c r="E299" s="34">
        <f t="shared" si="33"/>
        <v>0.14000000000000001</v>
      </c>
      <c r="F299" s="11">
        <f t="shared" si="34"/>
        <v>87</v>
      </c>
      <c r="G299" s="116"/>
      <c r="H299" s="118"/>
      <c r="I299" s="118"/>
      <c r="J299" s="124">
        <f t="shared" si="35"/>
        <v>7.0000000000000009</v>
      </c>
      <c r="N299" s="190"/>
      <c r="O299" s="194"/>
      <c r="P299" s="190"/>
      <c r="Q299" s="194"/>
      <c r="R299" s="190"/>
      <c r="S299" s="195"/>
    </row>
    <row r="300" spans="2:19" outlineLevel="1" x14ac:dyDescent="0.3">
      <c r="B300" s="47"/>
      <c r="C300" s="12"/>
      <c r="D300" s="16">
        <f t="shared" si="32"/>
        <v>50</v>
      </c>
      <c r="E300" s="34">
        <f t="shared" si="33"/>
        <v>0.14000000000000001</v>
      </c>
      <c r="F300" s="11">
        <f t="shared" si="34"/>
        <v>88</v>
      </c>
      <c r="G300" s="116"/>
      <c r="H300" s="118"/>
      <c r="I300" s="118"/>
      <c r="J300" s="124">
        <f t="shared" si="35"/>
        <v>7.0000000000000009</v>
      </c>
      <c r="N300" s="190"/>
      <c r="O300" s="194"/>
      <c r="P300" s="190"/>
      <c r="Q300" s="194"/>
      <c r="R300" s="190"/>
      <c r="S300" s="195"/>
    </row>
    <row r="301" spans="2:19" outlineLevel="1" x14ac:dyDescent="0.3">
      <c r="B301" s="47"/>
      <c r="C301" s="12"/>
      <c r="D301" s="16">
        <f t="shared" si="32"/>
        <v>50</v>
      </c>
      <c r="E301" s="34">
        <f t="shared" si="33"/>
        <v>0.14000000000000001</v>
      </c>
      <c r="F301" s="11">
        <f t="shared" si="34"/>
        <v>89</v>
      </c>
      <c r="G301" s="116"/>
      <c r="H301" s="118"/>
      <c r="I301" s="118"/>
      <c r="J301" s="124">
        <f t="shared" si="35"/>
        <v>7.0000000000000009</v>
      </c>
      <c r="N301" s="190"/>
      <c r="O301" s="194"/>
      <c r="P301" s="190"/>
      <c r="Q301" s="194"/>
      <c r="R301" s="190"/>
      <c r="S301" s="195"/>
    </row>
    <row r="302" spans="2:19" outlineLevel="1" x14ac:dyDescent="0.3">
      <c r="B302" s="47"/>
      <c r="C302" s="12"/>
      <c r="D302" s="16">
        <f t="shared" si="32"/>
        <v>50</v>
      </c>
      <c r="E302" s="34">
        <f t="shared" si="33"/>
        <v>0.14000000000000001</v>
      </c>
      <c r="F302" s="11">
        <f t="shared" si="34"/>
        <v>90</v>
      </c>
      <c r="G302" s="116"/>
      <c r="H302" s="118"/>
      <c r="I302" s="118"/>
      <c r="J302" s="124">
        <f t="shared" si="35"/>
        <v>7.0000000000000009</v>
      </c>
      <c r="N302" s="190"/>
      <c r="O302" s="194"/>
      <c r="P302" s="190"/>
      <c r="Q302" s="194"/>
      <c r="R302" s="190"/>
      <c r="S302" s="195"/>
    </row>
    <row r="303" spans="2:19" outlineLevel="1" x14ac:dyDescent="0.3">
      <c r="B303" s="47"/>
      <c r="C303" s="12"/>
      <c r="D303" s="16">
        <f t="shared" si="32"/>
        <v>50</v>
      </c>
      <c r="E303" s="34">
        <f t="shared" si="33"/>
        <v>0.14000000000000001</v>
      </c>
      <c r="F303" s="11">
        <f t="shared" si="34"/>
        <v>91</v>
      </c>
      <c r="G303" s="116"/>
      <c r="H303" s="118"/>
      <c r="I303" s="118"/>
      <c r="J303" s="124">
        <f t="shared" si="35"/>
        <v>7.0000000000000009</v>
      </c>
      <c r="N303" s="190"/>
      <c r="O303" s="194"/>
      <c r="P303" s="190"/>
      <c r="Q303" s="194"/>
      <c r="R303" s="190"/>
      <c r="S303" s="195"/>
    </row>
    <row r="304" spans="2:19" outlineLevel="1" x14ac:dyDescent="0.3">
      <c r="B304" s="47"/>
      <c r="C304" s="12"/>
      <c r="D304" s="16">
        <f t="shared" si="32"/>
        <v>50</v>
      </c>
      <c r="E304" s="34">
        <f t="shared" si="33"/>
        <v>0.14000000000000001</v>
      </c>
      <c r="F304" s="11">
        <f t="shared" si="34"/>
        <v>92</v>
      </c>
      <c r="G304" s="116"/>
      <c r="H304" s="118"/>
      <c r="I304" s="118"/>
      <c r="J304" s="124">
        <f t="shared" si="35"/>
        <v>7.0000000000000009</v>
      </c>
      <c r="N304" s="190"/>
      <c r="O304" s="194"/>
      <c r="P304" s="190"/>
      <c r="Q304" s="194"/>
      <c r="R304" s="190"/>
      <c r="S304" s="195"/>
    </row>
    <row r="305" spans="2:19" outlineLevel="1" x14ac:dyDescent="0.3">
      <c r="B305" s="47"/>
      <c r="C305" s="12"/>
      <c r="D305" s="16">
        <f t="shared" si="32"/>
        <v>50</v>
      </c>
      <c r="E305" s="34">
        <f t="shared" si="33"/>
        <v>0.14000000000000001</v>
      </c>
      <c r="F305" s="11">
        <f t="shared" si="34"/>
        <v>93</v>
      </c>
      <c r="G305" s="116"/>
      <c r="H305" s="118"/>
      <c r="I305" s="118"/>
      <c r="J305" s="124">
        <f t="shared" si="35"/>
        <v>7.0000000000000009</v>
      </c>
      <c r="N305" s="190"/>
      <c r="O305" s="194"/>
      <c r="P305" s="190"/>
      <c r="Q305" s="194"/>
      <c r="R305" s="190"/>
      <c r="S305" s="195"/>
    </row>
    <row r="306" spans="2:19" outlineLevel="1" x14ac:dyDescent="0.3">
      <c r="B306" s="47"/>
      <c r="C306" s="12"/>
      <c r="D306" s="16">
        <f t="shared" si="32"/>
        <v>50</v>
      </c>
      <c r="E306" s="34">
        <f t="shared" si="33"/>
        <v>0.14000000000000001</v>
      </c>
      <c r="F306" s="11">
        <f t="shared" si="34"/>
        <v>94</v>
      </c>
      <c r="G306" s="116"/>
      <c r="H306" s="118"/>
      <c r="I306" s="118"/>
      <c r="J306" s="124">
        <f t="shared" si="35"/>
        <v>7.0000000000000009</v>
      </c>
      <c r="N306" s="190"/>
      <c r="O306" s="194"/>
      <c r="P306" s="190"/>
      <c r="Q306" s="194"/>
      <c r="R306" s="190"/>
      <c r="S306" s="195"/>
    </row>
    <row r="307" spans="2:19" outlineLevel="1" x14ac:dyDescent="0.3">
      <c r="B307" s="47"/>
      <c r="C307" s="12"/>
      <c r="D307" s="16">
        <f t="shared" si="32"/>
        <v>50</v>
      </c>
      <c r="E307" s="34">
        <f t="shared" si="33"/>
        <v>0.14000000000000001</v>
      </c>
      <c r="F307" s="11">
        <f t="shared" si="34"/>
        <v>95</v>
      </c>
      <c r="G307" s="116"/>
      <c r="H307" s="118"/>
      <c r="I307" s="118"/>
      <c r="J307" s="124">
        <f t="shared" si="35"/>
        <v>7.0000000000000009</v>
      </c>
      <c r="N307" s="190"/>
      <c r="O307" s="194"/>
      <c r="P307" s="190"/>
      <c r="Q307" s="194"/>
      <c r="R307" s="190"/>
      <c r="S307" s="195"/>
    </row>
    <row r="308" spans="2:19" outlineLevel="1" x14ac:dyDescent="0.3">
      <c r="B308" s="47"/>
      <c r="C308" s="12"/>
      <c r="D308" s="16">
        <f t="shared" si="32"/>
        <v>50</v>
      </c>
      <c r="E308" s="34">
        <f t="shared" si="33"/>
        <v>0.14000000000000001</v>
      </c>
      <c r="F308" s="11">
        <f t="shared" si="34"/>
        <v>96</v>
      </c>
      <c r="G308" s="116"/>
      <c r="H308" s="118"/>
      <c r="I308" s="118"/>
      <c r="J308" s="124">
        <f t="shared" si="35"/>
        <v>7.0000000000000009</v>
      </c>
      <c r="N308" s="190"/>
      <c r="O308" s="194"/>
      <c r="P308" s="190"/>
      <c r="Q308" s="194"/>
      <c r="R308" s="190"/>
      <c r="S308" s="195"/>
    </row>
    <row r="309" spans="2:19" outlineLevel="1" x14ac:dyDescent="0.3">
      <c r="B309" s="47"/>
      <c r="C309" s="12"/>
      <c r="D309" s="16">
        <f t="shared" si="32"/>
        <v>50</v>
      </c>
      <c r="E309" s="34">
        <f t="shared" si="33"/>
        <v>0.14000000000000001</v>
      </c>
      <c r="F309" s="11">
        <f t="shared" si="34"/>
        <v>97</v>
      </c>
      <c r="G309" s="116"/>
      <c r="H309" s="118"/>
      <c r="I309" s="118"/>
      <c r="J309" s="124">
        <f t="shared" si="35"/>
        <v>7.0000000000000009</v>
      </c>
      <c r="N309" s="190"/>
      <c r="O309" s="194"/>
      <c r="P309" s="190"/>
      <c r="Q309" s="194"/>
      <c r="R309" s="190"/>
      <c r="S309" s="195"/>
    </row>
    <row r="310" spans="2:19" outlineLevel="1" x14ac:dyDescent="0.3">
      <c r="B310" s="47"/>
      <c r="C310" s="12"/>
      <c r="D310" s="16">
        <f t="shared" si="32"/>
        <v>50</v>
      </c>
      <c r="E310" s="34">
        <f t="shared" si="33"/>
        <v>0.14000000000000001</v>
      </c>
      <c r="F310" s="11">
        <f t="shared" si="34"/>
        <v>98</v>
      </c>
      <c r="G310" s="116"/>
      <c r="H310" s="118"/>
      <c r="I310" s="118"/>
      <c r="J310" s="124">
        <f t="shared" si="35"/>
        <v>7.0000000000000009</v>
      </c>
      <c r="N310" s="190"/>
      <c r="O310" s="194"/>
      <c r="P310" s="190"/>
      <c r="Q310" s="194"/>
      <c r="R310" s="190"/>
      <c r="S310" s="195"/>
    </row>
    <row r="311" spans="2:19" outlineLevel="1" x14ac:dyDescent="0.3">
      <c r="B311" s="47"/>
      <c r="C311" s="12"/>
      <c r="D311" s="16">
        <f t="shared" si="32"/>
        <v>50</v>
      </c>
      <c r="E311" s="34">
        <f t="shared" si="33"/>
        <v>0.14000000000000001</v>
      </c>
      <c r="F311" s="11">
        <f t="shared" si="34"/>
        <v>99</v>
      </c>
      <c r="G311" s="116"/>
      <c r="H311" s="118"/>
      <c r="I311" s="118"/>
      <c r="J311" s="124">
        <f t="shared" si="35"/>
        <v>7.0000000000000009</v>
      </c>
      <c r="N311" s="190"/>
      <c r="O311" s="194"/>
      <c r="P311" s="190"/>
      <c r="Q311" s="194"/>
      <c r="R311" s="190"/>
      <c r="S311" s="195"/>
    </row>
    <row r="312" spans="2:19" outlineLevel="1" x14ac:dyDescent="0.3">
      <c r="B312" s="47"/>
      <c r="C312" s="12"/>
      <c r="D312" s="16">
        <f t="shared" si="32"/>
        <v>50</v>
      </c>
      <c r="E312" s="34">
        <f t="shared" si="33"/>
        <v>0.14000000000000001</v>
      </c>
      <c r="F312" s="11">
        <f t="shared" si="34"/>
        <v>100</v>
      </c>
      <c r="G312" s="116"/>
      <c r="H312" s="118"/>
      <c r="I312" s="118"/>
      <c r="J312" s="124">
        <f t="shared" si="35"/>
        <v>7.0000000000000009</v>
      </c>
      <c r="N312" s="190"/>
      <c r="O312" s="194"/>
      <c r="P312" s="190"/>
      <c r="Q312" s="194"/>
      <c r="R312" s="190"/>
      <c r="S312" s="195"/>
    </row>
    <row r="313" spans="2:19" outlineLevel="1" x14ac:dyDescent="0.3">
      <c r="B313" s="47"/>
      <c r="C313" s="12"/>
      <c r="D313" s="16">
        <f t="shared" si="32"/>
        <v>50</v>
      </c>
      <c r="E313" s="34">
        <f t="shared" si="33"/>
        <v>0.14000000000000001</v>
      </c>
      <c r="F313" s="11">
        <f t="shared" si="34"/>
        <v>101</v>
      </c>
      <c r="G313" s="116"/>
      <c r="H313" s="118"/>
      <c r="I313" s="118"/>
      <c r="J313" s="124">
        <f t="shared" si="35"/>
        <v>7.0000000000000009</v>
      </c>
      <c r="N313" s="190"/>
      <c r="O313" s="194"/>
      <c r="P313" s="190"/>
      <c r="Q313" s="194"/>
      <c r="R313" s="190"/>
      <c r="S313" s="195"/>
    </row>
    <row r="314" spans="2:19" outlineLevel="1" x14ac:dyDescent="0.3">
      <c r="B314" s="47"/>
      <c r="C314" s="12"/>
      <c r="D314" s="16">
        <f t="shared" si="32"/>
        <v>50</v>
      </c>
      <c r="E314" s="34">
        <f t="shared" si="33"/>
        <v>0.14000000000000001</v>
      </c>
      <c r="F314" s="11">
        <f t="shared" si="34"/>
        <v>102</v>
      </c>
      <c r="G314" s="116"/>
      <c r="H314" s="118"/>
      <c r="I314" s="118"/>
      <c r="J314" s="124">
        <f t="shared" si="35"/>
        <v>7.0000000000000009</v>
      </c>
      <c r="N314" s="190"/>
      <c r="O314" s="194"/>
      <c r="P314" s="190"/>
      <c r="Q314" s="194"/>
      <c r="R314" s="190"/>
      <c r="S314" s="195"/>
    </row>
    <row r="315" spans="2:19" outlineLevel="1" x14ac:dyDescent="0.3">
      <c r="B315" s="47"/>
      <c r="C315" s="12"/>
      <c r="D315" s="16">
        <f t="shared" si="32"/>
        <v>50</v>
      </c>
      <c r="E315" s="34">
        <f t="shared" si="33"/>
        <v>0.14000000000000001</v>
      </c>
      <c r="F315" s="11">
        <f t="shared" si="34"/>
        <v>103</v>
      </c>
      <c r="G315" s="116"/>
      <c r="H315" s="118"/>
      <c r="I315" s="118"/>
      <c r="J315" s="124">
        <f t="shared" si="35"/>
        <v>7.0000000000000009</v>
      </c>
      <c r="N315" s="190"/>
      <c r="O315" s="194"/>
      <c r="P315" s="190"/>
      <c r="Q315" s="194"/>
      <c r="R315" s="190"/>
      <c r="S315" s="195"/>
    </row>
    <row r="316" spans="2:19" outlineLevel="1" x14ac:dyDescent="0.3">
      <c r="B316" s="47"/>
      <c r="C316" s="12"/>
      <c r="D316" s="16">
        <f t="shared" si="32"/>
        <v>50</v>
      </c>
      <c r="E316" s="34">
        <f t="shared" si="33"/>
        <v>0.14000000000000001</v>
      </c>
      <c r="F316" s="11">
        <f t="shared" si="34"/>
        <v>104</v>
      </c>
      <c r="G316" s="116"/>
      <c r="H316" s="118"/>
      <c r="I316" s="118"/>
      <c r="J316" s="124">
        <f t="shared" si="35"/>
        <v>7.0000000000000009</v>
      </c>
      <c r="N316" s="190"/>
      <c r="O316" s="194"/>
      <c r="P316" s="190"/>
      <c r="Q316" s="194"/>
      <c r="R316" s="190"/>
      <c r="S316" s="195"/>
    </row>
    <row r="317" spans="2:19" outlineLevel="1" x14ac:dyDescent="0.3">
      <c r="B317" s="47"/>
      <c r="C317" s="12"/>
      <c r="D317" s="16">
        <f t="shared" si="32"/>
        <v>50</v>
      </c>
      <c r="E317" s="34">
        <f t="shared" si="33"/>
        <v>0.14000000000000001</v>
      </c>
      <c r="F317" s="11">
        <f t="shared" si="34"/>
        <v>105</v>
      </c>
      <c r="G317" s="116"/>
      <c r="H317" s="118"/>
      <c r="I317" s="118"/>
      <c r="J317" s="124">
        <f t="shared" si="35"/>
        <v>7.0000000000000009</v>
      </c>
      <c r="N317" s="190"/>
      <c r="O317" s="194"/>
      <c r="P317" s="190"/>
      <c r="Q317" s="194"/>
      <c r="R317" s="190"/>
      <c r="S317" s="195"/>
    </row>
    <row r="318" spans="2:19" outlineLevel="1" x14ac:dyDescent="0.3">
      <c r="B318" s="47"/>
      <c r="C318" s="12"/>
      <c r="D318" s="16">
        <f t="shared" si="32"/>
        <v>50</v>
      </c>
      <c r="E318" s="34">
        <f t="shared" si="33"/>
        <v>0.14000000000000001</v>
      </c>
      <c r="F318" s="11">
        <f t="shared" si="34"/>
        <v>106</v>
      </c>
      <c r="G318" s="116"/>
      <c r="H318" s="118"/>
      <c r="I318" s="118"/>
      <c r="J318" s="124">
        <f t="shared" si="35"/>
        <v>7.0000000000000009</v>
      </c>
      <c r="N318" s="190"/>
      <c r="O318" s="194"/>
      <c r="P318" s="190"/>
      <c r="Q318" s="194"/>
      <c r="R318" s="190"/>
      <c r="S318" s="195"/>
    </row>
    <row r="319" spans="2:19" outlineLevel="1" x14ac:dyDescent="0.3">
      <c r="B319" s="47"/>
      <c r="C319" s="12"/>
      <c r="D319" s="16">
        <f t="shared" si="32"/>
        <v>50</v>
      </c>
      <c r="E319" s="34">
        <f t="shared" si="33"/>
        <v>0.14000000000000001</v>
      </c>
      <c r="F319" s="11">
        <f t="shared" si="34"/>
        <v>107</v>
      </c>
      <c r="G319" s="116"/>
      <c r="H319" s="118"/>
      <c r="I319" s="118"/>
      <c r="J319" s="124">
        <f t="shared" si="35"/>
        <v>7.0000000000000009</v>
      </c>
      <c r="N319" s="190"/>
      <c r="O319" s="194"/>
      <c r="P319" s="190"/>
      <c r="Q319" s="194"/>
      <c r="R319" s="190"/>
      <c r="S319" s="195"/>
    </row>
    <row r="320" spans="2:19" outlineLevel="1" x14ac:dyDescent="0.3">
      <c r="B320" s="47"/>
      <c r="C320" s="12"/>
      <c r="D320" s="16">
        <f t="shared" si="32"/>
        <v>50</v>
      </c>
      <c r="E320" s="34">
        <f t="shared" si="33"/>
        <v>0.14000000000000001</v>
      </c>
      <c r="F320" s="11">
        <f t="shared" si="34"/>
        <v>108</v>
      </c>
      <c r="G320" s="116"/>
      <c r="H320" s="118"/>
      <c r="I320" s="118"/>
      <c r="J320" s="124">
        <f t="shared" si="35"/>
        <v>7.0000000000000009</v>
      </c>
      <c r="N320" s="190"/>
      <c r="O320" s="194"/>
      <c r="P320" s="190"/>
      <c r="Q320" s="194"/>
      <c r="R320" s="190"/>
      <c r="S320" s="195"/>
    </row>
    <row r="321" spans="2:19" outlineLevel="1" x14ac:dyDescent="0.3">
      <c r="B321" s="47"/>
      <c r="C321" s="12"/>
      <c r="D321" s="16">
        <f t="shared" si="32"/>
        <v>50</v>
      </c>
      <c r="E321" s="34">
        <f t="shared" si="33"/>
        <v>0.14000000000000001</v>
      </c>
      <c r="F321" s="11">
        <f t="shared" si="34"/>
        <v>109</v>
      </c>
      <c r="G321" s="116"/>
      <c r="H321" s="118"/>
      <c r="I321" s="118"/>
      <c r="J321" s="124">
        <f t="shared" si="35"/>
        <v>7.0000000000000009</v>
      </c>
      <c r="N321" s="190"/>
      <c r="O321" s="194"/>
      <c r="P321" s="190"/>
      <c r="Q321" s="194"/>
      <c r="R321" s="190"/>
      <c r="S321" s="195"/>
    </row>
    <row r="322" spans="2:19" outlineLevel="1" x14ac:dyDescent="0.3">
      <c r="B322" s="47"/>
      <c r="C322" s="12"/>
      <c r="D322" s="16">
        <f t="shared" si="32"/>
        <v>50</v>
      </c>
      <c r="E322" s="34">
        <f t="shared" si="33"/>
        <v>0.14000000000000001</v>
      </c>
      <c r="F322" s="11">
        <f t="shared" si="34"/>
        <v>110</v>
      </c>
      <c r="G322" s="116"/>
      <c r="H322" s="118"/>
      <c r="I322" s="118"/>
      <c r="J322" s="124">
        <f t="shared" si="35"/>
        <v>7.0000000000000009</v>
      </c>
      <c r="N322" s="190"/>
      <c r="O322" s="194"/>
      <c r="P322" s="190"/>
      <c r="Q322" s="194"/>
      <c r="R322" s="190"/>
      <c r="S322" s="195"/>
    </row>
    <row r="323" spans="2:19" outlineLevel="1" x14ac:dyDescent="0.3">
      <c r="B323" s="47"/>
      <c r="C323" s="12"/>
      <c r="D323" s="16">
        <f t="shared" si="32"/>
        <v>50</v>
      </c>
      <c r="E323" s="34">
        <f t="shared" si="33"/>
        <v>0.14000000000000001</v>
      </c>
      <c r="F323" s="11">
        <f t="shared" si="34"/>
        <v>111</v>
      </c>
      <c r="G323" s="116"/>
      <c r="H323" s="118"/>
      <c r="I323" s="118"/>
      <c r="J323" s="124">
        <f t="shared" si="35"/>
        <v>7.0000000000000009</v>
      </c>
      <c r="N323" s="190"/>
      <c r="O323" s="194"/>
      <c r="P323" s="190"/>
      <c r="Q323" s="194"/>
      <c r="R323" s="190"/>
      <c r="S323" s="195"/>
    </row>
    <row r="324" spans="2:19" outlineLevel="1" x14ac:dyDescent="0.3">
      <c r="B324" s="47"/>
      <c r="C324" s="12"/>
      <c r="D324" s="16">
        <f t="shared" si="32"/>
        <v>50</v>
      </c>
      <c r="E324" s="34">
        <f t="shared" si="33"/>
        <v>0.14000000000000001</v>
      </c>
      <c r="F324" s="11">
        <f t="shared" si="34"/>
        <v>112</v>
      </c>
      <c r="G324" s="116"/>
      <c r="H324" s="118"/>
      <c r="I324" s="118"/>
      <c r="J324" s="124">
        <f t="shared" si="35"/>
        <v>7.0000000000000009</v>
      </c>
      <c r="N324" s="190"/>
      <c r="O324" s="194"/>
      <c r="P324" s="190"/>
      <c r="Q324" s="194"/>
      <c r="R324" s="190"/>
      <c r="S324" s="195"/>
    </row>
    <row r="325" spans="2:19" outlineLevel="1" x14ac:dyDescent="0.3">
      <c r="B325" s="47"/>
      <c r="C325" s="12"/>
      <c r="D325" s="16">
        <f t="shared" si="32"/>
        <v>50</v>
      </c>
      <c r="E325" s="34">
        <f t="shared" si="33"/>
        <v>0.14000000000000001</v>
      </c>
      <c r="F325" s="11">
        <f t="shared" si="34"/>
        <v>113</v>
      </c>
      <c r="G325" s="116"/>
      <c r="H325" s="118"/>
      <c r="I325" s="118"/>
      <c r="J325" s="124">
        <f t="shared" si="35"/>
        <v>7.0000000000000009</v>
      </c>
      <c r="N325" s="190"/>
      <c r="O325" s="194"/>
      <c r="P325" s="190"/>
      <c r="Q325" s="194"/>
      <c r="R325" s="190"/>
      <c r="S325" s="195"/>
    </row>
    <row r="326" spans="2:19" outlineLevel="1" x14ac:dyDescent="0.3">
      <c r="B326" s="47"/>
      <c r="C326" s="12"/>
      <c r="D326" s="16">
        <f t="shared" si="32"/>
        <v>50</v>
      </c>
      <c r="E326" s="34">
        <f t="shared" si="33"/>
        <v>0.14000000000000001</v>
      </c>
      <c r="F326" s="11">
        <f t="shared" si="34"/>
        <v>114</v>
      </c>
      <c r="G326" s="116"/>
      <c r="H326" s="118"/>
      <c r="I326" s="118"/>
      <c r="J326" s="124">
        <f t="shared" si="35"/>
        <v>7.0000000000000009</v>
      </c>
      <c r="N326" s="190"/>
      <c r="O326" s="194"/>
      <c r="P326" s="190"/>
      <c r="Q326" s="194"/>
      <c r="R326" s="190"/>
      <c r="S326" s="195"/>
    </row>
    <row r="327" spans="2:19" outlineLevel="1" x14ac:dyDescent="0.3">
      <c r="B327" s="47"/>
      <c r="C327" s="12"/>
      <c r="D327" s="16">
        <f t="shared" si="32"/>
        <v>50</v>
      </c>
      <c r="E327" s="34">
        <f t="shared" si="33"/>
        <v>0.14000000000000001</v>
      </c>
      <c r="F327" s="11">
        <f t="shared" si="34"/>
        <v>115</v>
      </c>
      <c r="G327" s="116"/>
      <c r="H327" s="118"/>
      <c r="I327" s="118"/>
      <c r="J327" s="124">
        <f t="shared" si="35"/>
        <v>7.0000000000000009</v>
      </c>
      <c r="N327" s="190"/>
      <c r="O327" s="194"/>
      <c r="P327" s="190"/>
      <c r="Q327" s="194"/>
      <c r="R327" s="190"/>
      <c r="S327" s="195"/>
    </row>
    <row r="328" spans="2:19" outlineLevel="1" x14ac:dyDescent="0.3">
      <c r="B328" s="47"/>
      <c r="C328" s="12"/>
      <c r="D328" s="16">
        <f t="shared" si="32"/>
        <v>50</v>
      </c>
      <c r="E328" s="34">
        <f t="shared" si="33"/>
        <v>0.14000000000000001</v>
      </c>
      <c r="F328" s="11">
        <f t="shared" si="34"/>
        <v>116</v>
      </c>
      <c r="G328" s="116"/>
      <c r="H328" s="118"/>
      <c r="I328" s="118"/>
      <c r="J328" s="124">
        <f t="shared" si="35"/>
        <v>7.0000000000000009</v>
      </c>
      <c r="N328" s="190"/>
      <c r="O328" s="194"/>
      <c r="P328" s="190"/>
      <c r="Q328" s="194"/>
      <c r="R328" s="190"/>
      <c r="S328" s="195"/>
    </row>
    <row r="329" spans="2:19" outlineLevel="1" x14ac:dyDescent="0.3">
      <c r="B329" s="47"/>
      <c r="C329" s="12"/>
      <c r="D329" s="16">
        <f t="shared" si="32"/>
        <v>50</v>
      </c>
      <c r="E329" s="34">
        <f t="shared" si="33"/>
        <v>0.14000000000000001</v>
      </c>
      <c r="F329" s="11">
        <f t="shared" si="34"/>
        <v>117</v>
      </c>
      <c r="G329" s="116"/>
      <c r="H329" s="118"/>
      <c r="I329" s="118"/>
      <c r="J329" s="124">
        <f t="shared" si="35"/>
        <v>7.0000000000000009</v>
      </c>
      <c r="N329" s="190"/>
      <c r="O329" s="194"/>
      <c r="P329" s="190"/>
      <c r="Q329" s="194"/>
      <c r="R329" s="190"/>
      <c r="S329" s="195"/>
    </row>
    <row r="330" spans="2:19" outlineLevel="1" x14ac:dyDescent="0.3">
      <c r="B330" s="47"/>
      <c r="C330" s="12"/>
      <c r="D330" s="16">
        <f t="shared" si="32"/>
        <v>50</v>
      </c>
      <c r="E330" s="34">
        <f t="shared" si="33"/>
        <v>0.14000000000000001</v>
      </c>
      <c r="F330" s="11">
        <f t="shared" si="34"/>
        <v>118</v>
      </c>
      <c r="G330" s="116"/>
      <c r="H330" s="118"/>
      <c r="I330" s="118"/>
      <c r="J330" s="124">
        <f t="shared" si="35"/>
        <v>7.0000000000000009</v>
      </c>
      <c r="N330" s="190"/>
      <c r="O330" s="194"/>
      <c r="P330" s="190"/>
      <c r="Q330" s="194"/>
      <c r="R330" s="190"/>
      <c r="S330" s="195"/>
    </row>
    <row r="331" spans="2:19" outlineLevel="1" x14ac:dyDescent="0.3">
      <c r="B331" s="47"/>
      <c r="C331" s="12"/>
      <c r="D331" s="16">
        <f t="shared" si="32"/>
        <v>50</v>
      </c>
      <c r="E331" s="34">
        <f t="shared" si="33"/>
        <v>0.14000000000000001</v>
      </c>
      <c r="F331" s="11">
        <f t="shared" si="34"/>
        <v>119</v>
      </c>
      <c r="G331" s="116"/>
      <c r="H331" s="118"/>
      <c r="I331" s="118"/>
      <c r="J331" s="124">
        <f t="shared" si="35"/>
        <v>7.0000000000000009</v>
      </c>
      <c r="N331" s="190"/>
      <c r="O331" s="194"/>
      <c r="P331" s="190"/>
      <c r="Q331" s="194"/>
      <c r="R331" s="190"/>
      <c r="S331" s="195"/>
    </row>
    <row r="332" spans="2:19" outlineLevel="1" x14ac:dyDescent="0.3">
      <c r="B332" s="47"/>
      <c r="C332" s="12"/>
      <c r="D332" s="16">
        <f t="shared" si="32"/>
        <v>50</v>
      </c>
      <c r="E332" s="34">
        <f t="shared" si="33"/>
        <v>0.14000000000000001</v>
      </c>
      <c r="F332" s="11">
        <f t="shared" si="34"/>
        <v>120</v>
      </c>
      <c r="G332" s="116"/>
      <c r="H332" s="118"/>
      <c r="I332" s="118"/>
      <c r="J332" s="124">
        <f t="shared" si="35"/>
        <v>7.0000000000000009</v>
      </c>
      <c r="N332" s="190"/>
      <c r="O332" s="194"/>
      <c r="P332" s="190"/>
      <c r="Q332" s="194"/>
      <c r="R332" s="190"/>
      <c r="S332" s="195"/>
    </row>
    <row r="333" spans="2:19" s="19" customFormat="1" ht="10.8" thickBot="1" x14ac:dyDescent="0.35">
      <c r="B333" s="55"/>
      <c r="C333" s="140" t="s">
        <v>77</v>
      </c>
      <c r="D333" s="87"/>
      <c r="E333" s="53"/>
      <c r="F333" s="125"/>
      <c r="G333" s="126"/>
      <c r="H333" s="127"/>
      <c r="I333" s="127"/>
      <c r="J333" s="128">
        <f>SUM(J213:J332)</f>
        <v>842.75</v>
      </c>
      <c r="N333" s="190"/>
      <c r="O333" s="194"/>
      <c r="P333" s="190"/>
      <c r="Q333" s="194"/>
      <c r="R333" s="196"/>
      <c r="S333" s="195"/>
    </row>
    <row r="334" spans="2:19" ht="10.8" thickBot="1" x14ac:dyDescent="0.35">
      <c r="B334" s="70">
        <v>4</v>
      </c>
      <c r="C334" s="137" t="s">
        <v>34</v>
      </c>
      <c r="D334" s="90">
        <f t="shared" ref="D334" si="36">D139</f>
        <v>10000</v>
      </c>
      <c r="E334" s="72"/>
      <c r="F334" s="51" t="s">
        <v>78</v>
      </c>
      <c r="G334" s="52"/>
      <c r="H334" s="138"/>
      <c r="I334" s="138"/>
      <c r="J334" s="139">
        <f t="shared" si="18"/>
        <v>0</v>
      </c>
      <c r="N334" s="190"/>
      <c r="O334" s="194"/>
      <c r="P334" s="190"/>
      <c r="Q334" s="194"/>
      <c r="R334" s="190"/>
      <c r="S334" s="195"/>
    </row>
    <row r="335" spans="2:19" ht="10.8" thickBot="1" x14ac:dyDescent="0.35">
      <c r="B335" s="58">
        <v>5</v>
      </c>
      <c r="C335" s="62" t="s">
        <v>33</v>
      </c>
      <c r="D335" s="88">
        <f t="shared" ref="D335:E335" si="37">D140</f>
        <v>-15000</v>
      </c>
      <c r="E335" s="60">
        <f t="shared" si="37"/>
        <v>0.12</v>
      </c>
      <c r="F335" s="45">
        <v>2</v>
      </c>
      <c r="G335" s="46">
        <f t="shared" si="15"/>
        <v>0.13</v>
      </c>
      <c r="H335" s="93">
        <f t="shared" si="16"/>
        <v>-299.99999999999994</v>
      </c>
      <c r="I335" s="93">
        <f t="shared" si="17"/>
        <v>-1625</v>
      </c>
      <c r="J335" s="94">
        <f t="shared" si="18"/>
        <v>-1925</v>
      </c>
      <c r="N335" s="190"/>
      <c r="O335" s="194"/>
      <c r="P335" s="190"/>
      <c r="Q335" s="194"/>
      <c r="R335" s="190"/>
      <c r="S335" s="195"/>
    </row>
    <row r="336" spans="2:19" ht="21" thickBot="1" x14ac:dyDescent="0.35">
      <c r="B336" s="48">
        <v>6</v>
      </c>
      <c r="C336" s="49" t="s">
        <v>36</v>
      </c>
      <c r="D336" s="85">
        <f t="shared" ref="D336:E336" si="38">D141</f>
        <v>-5000</v>
      </c>
      <c r="E336" s="50">
        <f t="shared" si="38"/>
        <v>1E-4</v>
      </c>
      <c r="F336" s="63" t="s">
        <v>79</v>
      </c>
      <c r="G336" s="63"/>
      <c r="H336" s="95"/>
      <c r="I336" s="95"/>
      <c r="J336" s="96">
        <f>D336*E336</f>
        <v>-0.5</v>
      </c>
      <c r="N336" s="190"/>
      <c r="O336" s="194"/>
      <c r="P336" s="190"/>
      <c r="Q336" s="194"/>
      <c r="R336" s="190"/>
      <c r="S336" s="195"/>
    </row>
    <row r="337" spans="2:19" ht="10.8" thickBot="1" x14ac:dyDescent="0.35">
      <c r="B337" s="66">
        <v>7</v>
      </c>
      <c r="C337" s="67" t="s">
        <v>38</v>
      </c>
      <c r="D337" s="89">
        <f t="shared" ref="D337:E337" si="39">D142</f>
        <v>-6000</v>
      </c>
      <c r="E337" s="68">
        <f t="shared" si="39"/>
        <v>1E-4</v>
      </c>
      <c r="F337" s="69" t="s">
        <v>79</v>
      </c>
      <c r="G337" s="69"/>
      <c r="H337" s="97"/>
      <c r="I337" s="97"/>
      <c r="J337" s="98">
        <f>D337*E337</f>
        <v>-0.6</v>
      </c>
      <c r="N337" s="190"/>
      <c r="O337" s="194"/>
      <c r="P337" s="190"/>
      <c r="Q337" s="194"/>
      <c r="R337" s="190"/>
      <c r="S337" s="195"/>
    </row>
    <row r="338" spans="2:19" ht="10.8" thickBot="1" x14ac:dyDescent="0.35">
      <c r="B338" s="48">
        <v>8</v>
      </c>
      <c r="C338" s="75" t="s">
        <v>39</v>
      </c>
      <c r="D338" s="85">
        <f t="shared" ref="D338:E338" si="40">D143</f>
        <v>-5000</v>
      </c>
      <c r="E338" s="50">
        <f t="shared" si="40"/>
        <v>0.11</v>
      </c>
      <c r="F338" s="63" t="s">
        <v>76</v>
      </c>
      <c r="G338" s="63"/>
      <c r="H338" s="95"/>
      <c r="I338" s="95"/>
      <c r="J338" s="96">
        <f>D338*E338</f>
        <v>-550</v>
      </c>
      <c r="N338" s="190"/>
      <c r="O338" s="194"/>
      <c r="P338" s="190"/>
      <c r="Q338" s="194"/>
      <c r="R338" s="190"/>
      <c r="S338" s="195"/>
    </row>
    <row r="339" spans="2:19" ht="10.8" thickBot="1" x14ac:dyDescent="0.35">
      <c r="B339" s="70">
        <v>9</v>
      </c>
      <c r="C339" s="71" t="s">
        <v>42</v>
      </c>
      <c r="D339" s="90">
        <f t="shared" ref="D339" si="41">D144</f>
        <v>-5000</v>
      </c>
      <c r="E339" s="72"/>
      <c r="F339" s="73"/>
      <c r="G339" s="74"/>
      <c r="H339" s="99"/>
      <c r="I339" s="99"/>
      <c r="J339" s="100">
        <v>0</v>
      </c>
      <c r="N339" s="188"/>
      <c r="O339" s="189"/>
      <c r="P339" s="190"/>
      <c r="Q339" s="189"/>
      <c r="R339" s="190"/>
      <c r="S339" s="189"/>
    </row>
    <row r="340" spans="2:19" x14ac:dyDescent="0.3">
      <c r="C340" s="19" t="s">
        <v>125</v>
      </c>
      <c r="D340" s="19"/>
      <c r="E340" s="19"/>
      <c r="F340" s="19"/>
      <c r="G340" s="19"/>
      <c r="H340" s="101"/>
      <c r="I340" s="101"/>
      <c r="J340" s="101">
        <f>J151+J212+J333+SUM(J335:J339)</f>
        <v>1235.4589468376007</v>
      </c>
      <c r="N340" s="188"/>
      <c r="O340" s="189"/>
      <c r="P340" s="190"/>
      <c r="Q340" s="189"/>
      <c r="R340" s="190"/>
      <c r="S340" s="189"/>
    </row>
    <row r="341" spans="2:19" ht="10.8" thickBot="1" x14ac:dyDescent="0.35"/>
    <row r="342" spans="2:19" ht="13.8" thickBot="1" x14ac:dyDescent="0.35">
      <c r="B342" s="8" t="s">
        <v>82</v>
      </c>
      <c r="C342" s="158" t="s">
        <v>123</v>
      </c>
      <c r="D342" s="159">
        <f>J340-F145</f>
        <v>-32.441053162390745</v>
      </c>
    </row>
    <row r="343" spans="2:19" ht="13.8" thickBot="1" x14ac:dyDescent="0.35">
      <c r="C343" s="160"/>
      <c r="D343" s="161"/>
    </row>
    <row r="344" spans="2:19" ht="13.8" thickBot="1" x14ac:dyDescent="0.35">
      <c r="B344" s="8" t="s">
        <v>83</v>
      </c>
      <c r="C344" s="158" t="s">
        <v>123</v>
      </c>
      <c r="D344" s="159">
        <f>D128</f>
        <v>-31.577835412370874</v>
      </c>
    </row>
    <row r="346" spans="2:19" x14ac:dyDescent="0.3">
      <c r="C346" s="8" t="s">
        <v>84</v>
      </c>
      <c r="D346" s="41">
        <f>(D344-D342)/D342</f>
        <v>-2.6608807849080814E-2</v>
      </c>
      <c r="E346" s="8" t="s">
        <v>85</v>
      </c>
    </row>
  </sheetData>
  <hyperlinks>
    <hyperlink ref="N59" location="'annuity example'!A1" display="fixed rate, we pick tenor of repayments of principal" xr:uid="{4C5EEDDC-9D04-469C-93CB-90746B347B86}"/>
    <hyperlink ref="U145" r:id="rId1" display="https://www.bis.org/bcbs/publ/d368.pdf" xr:uid="{513BCE97-7588-415A-A7ED-D8544742D8D2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C3E2-544C-4FC6-8531-763E0BD79D0A}">
  <dimension ref="B2:W50"/>
  <sheetViews>
    <sheetView zoomScale="80" zoomScaleNormal="80" workbookViewId="0">
      <selection activeCell="I17" sqref="I17"/>
    </sheetView>
  </sheetViews>
  <sheetFormatPr defaultRowHeight="10.199999999999999" x14ac:dyDescent="0.2"/>
  <cols>
    <col min="1" max="2" width="8.88671875" style="1"/>
    <col min="3" max="3" width="13.109375" style="1" customWidth="1"/>
    <col min="4" max="21" width="10.21875" style="1" customWidth="1"/>
    <col min="22" max="16384" width="8.88671875" style="1"/>
  </cols>
  <sheetData>
    <row r="2" spans="2:6" x14ac:dyDescent="0.2">
      <c r="B2" s="77" t="s">
        <v>144</v>
      </c>
    </row>
    <row r="3" spans="2:6" x14ac:dyDescent="0.2">
      <c r="B3" s="1" t="s">
        <v>171</v>
      </c>
    </row>
    <row r="4" spans="2:6" x14ac:dyDescent="0.2">
      <c r="B4" s="1" t="s">
        <v>172</v>
      </c>
    </row>
    <row r="5" spans="2:6" x14ac:dyDescent="0.2">
      <c r="B5" s="1" t="s">
        <v>173</v>
      </c>
    </row>
    <row r="7" spans="2:6" ht="20.399999999999999" x14ac:dyDescent="0.2">
      <c r="C7" s="172" t="s">
        <v>211</v>
      </c>
      <c r="D7" s="2">
        <v>0.05</v>
      </c>
    </row>
    <row r="8" spans="2:6" ht="20.399999999999999" x14ac:dyDescent="0.2">
      <c r="C8" s="172" t="s">
        <v>212</v>
      </c>
      <c r="D8" s="2">
        <v>0.06</v>
      </c>
    </row>
    <row r="10" spans="2:6" x14ac:dyDescent="0.2">
      <c r="B10" s="19">
        <v>1</v>
      </c>
      <c r="C10" s="19" t="s">
        <v>12</v>
      </c>
      <c r="D10" s="8"/>
    </row>
    <row r="11" spans="2:6" x14ac:dyDescent="0.2">
      <c r="B11" s="8"/>
      <c r="C11" s="20">
        <v>1000</v>
      </c>
      <c r="D11" s="8" t="s">
        <v>81</v>
      </c>
      <c r="F11" s="171">
        <f>C11*C13</f>
        <v>100</v>
      </c>
    </row>
    <row r="12" spans="2:6" x14ac:dyDescent="0.2">
      <c r="B12" s="8"/>
      <c r="C12" s="20">
        <v>12</v>
      </c>
      <c r="D12" s="8" t="s">
        <v>142</v>
      </c>
    </row>
    <row r="13" spans="2:6" x14ac:dyDescent="0.2">
      <c r="B13" s="8"/>
      <c r="C13" s="17">
        <v>0.1</v>
      </c>
      <c r="D13" s="8" t="s">
        <v>15</v>
      </c>
    </row>
    <row r="14" spans="2:6" x14ac:dyDescent="0.2">
      <c r="B14" s="8"/>
      <c r="C14" s="8"/>
      <c r="D14" s="8"/>
    </row>
    <row r="15" spans="2:6" x14ac:dyDescent="0.2">
      <c r="B15" s="19">
        <v>2</v>
      </c>
      <c r="C15" s="21" t="s">
        <v>132</v>
      </c>
      <c r="D15" s="8"/>
    </row>
    <row r="16" spans="2:6" x14ac:dyDescent="0.2">
      <c r="B16" s="8"/>
      <c r="C16" s="20">
        <v>-1000</v>
      </c>
      <c r="D16" s="8" t="s">
        <v>81</v>
      </c>
      <c r="F16" s="171">
        <f>C16*C18</f>
        <v>-100</v>
      </c>
    </row>
    <row r="17" spans="2:23" x14ac:dyDescent="0.2">
      <c r="B17" s="8"/>
      <c r="C17" s="20">
        <v>12</v>
      </c>
      <c r="D17" s="8" t="s">
        <v>20</v>
      </c>
    </row>
    <row r="18" spans="2:23" x14ac:dyDescent="0.2">
      <c r="B18" s="8"/>
      <c r="C18" s="17">
        <v>0.1</v>
      </c>
      <c r="D18" s="8" t="s">
        <v>15</v>
      </c>
    </row>
    <row r="19" spans="2:23" x14ac:dyDescent="0.2">
      <c r="B19" s="8"/>
      <c r="C19" s="22"/>
      <c r="D19" s="8"/>
    </row>
    <row r="20" spans="2:23" x14ac:dyDescent="0.2">
      <c r="B20" s="8"/>
      <c r="C20" s="22" t="s">
        <v>134</v>
      </c>
      <c r="D20" s="208">
        <f>SUM(I27:J50,R27:S50)-(F11+F16)</f>
        <v>-1.2434497875801753E-14</v>
      </c>
    </row>
    <row r="21" spans="2:23" x14ac:dyDescent="0.2">
      <c r="B21" s="8"/>
      <c r="C21" s="22" t="s">
        <v>143</v>
      </c>
      <c r="D21" s="208">
        <f>SUM(W27:W50)</f>
        <v>0</v>
      </c>
    </row>
    <row r="23" spans="2:23" ht="10.8" thickBot="1" x14ac:dyDescent="0.25"/>
    <row r="24" spans="2:23" s="172" customFormat="1" x14ac:dyDescent="0.2">
      <c r="D24" s="232" t="s">
        <v>131</v>
      </c>
      <c r="E24" s="233"/>
      <c r="F24" s="233"/>
      <c r="G24" s="233"/>
      <c r="H24" s="233"/>
      <c r="I24" s="233"/>
      <c r="J24" s="233"/>
      <c r="K24" s="233"/>
      <c r="L24" s="233"/>
      <c r="M24" s="234" t="s">
        <v>132</v>
      </c>
      <c r="N24" s="235"/>
      <c r="O24" s="235"/>
      <c r="P24" s="235"/>
      <c r="Q24" s="235"/>
      <c r="R24" s="235"/>
      <c r="S24" s="235"/>
      <c r="T24" s="235"/>
      <c r="U24" s="236"/>
    </row>
    <row r="25" spans="2:23" s="29" customFormat="1" ht="40.799999999999997" x14ac:dyDescent="0.3">
      <c r="C25" s="7" t="s">
        <v>133</v>
      </c>
      <c r="D25" s="173" t="s">
        <v>45</v>
      </c>
      <c r="E25" s="174" t="s">
        <v>141</v>
      </c>
      <c r="F25" s="174" t="s">
        <v>130</v>
      </c>
      <c r="G25" s="174" t="s">
        <v>135</v>
      </c>
      <c r="H25" s="174" t="s">
        <v>136</v>
      </c>
      <c r="I25" s="174" t="s">
        <v>139</v>
      </c>
      <c r="J25" s="174" t="s">
        <v>140</v>
      </c>
      <c r="K25" s="174" t="s">
        <v>137</v>
      </c>
      <c r="L25" s="174" t="s">
        <v>138</v>
      </c>
      <c r="M25" s="219" t="s">
        <v>45</v>
      </c>
      <c r="N25" s="174" t="s">
        <v>141</v>
      </c>
      <c r="O25" s="174" t="s">
        <v>130</v>
      </c>
      <c r="P25" s="174" t="s">
        <v>135</v>
      </c>
      <c r="Q25" s="174" t="s">
        <v>136</v>
      </c>
      <c r="R25" s="174" t="s">
        <v>139</v>
      </c>
      <c r="S25" s="174" t="s">
        <v>140</v>
      </c>
      <c r="T25" s="174" t="s">
        <v>137</v>
      </c>
      <c r="U25" s="220" t="s">
        <v>138</v>
      </c>
      <c r="W25" s="29" t="s">
        <v>128</v>
      </c>
    </row>
    <row r="26" spans="2:23" x14ac:dyDescent="0.2">
      <c r="D26" s="175"/>
      <c r="E26" s="149"/>
      <c r="F26" s="149"/>
      <c r="G26" s="149"/>
      <c r="H26" s="149"/>
      <c r="I26" s="149"/>
      <c r="J26" s="149"/>
      <c r="K26" s="149"/>
      <c r="L26" s="149"/>
      <c r="M26" s="221"/>
      <c r="N26" s="149"/>
      <c r="O26" s="149"/>
      <c r="P26" s="149"/>
      <c r="Q26" s="149"/>
      <c r="R26" s="149"/>
      <c r="S26" s="149"/>
      <c r="T26" s="149"/>
      <c r="U26" s="222"/>
    </row>
    <row r="27" spans="2:23" x14ac:dyDescent="0.2">
      <c r="C27" s="1">
        <v>1</v>
      </c>
      <c r="D27" s="176">
        <f>IF(C27&gt;$C$12,0,$C$11/$C$12)</f>
        <v>83.333333333333329</v>
      </c>
      <c r="E27" s="177">
        <f>($C$11-SUM($D$26:D26))*G27/12</f>
        <v>8.3333333333333339</v>
      </c>
      <c r="F27" s="177">
        <f>D27+E27</f>
        <v>91.666666666666657</v>
      </c>
      <c r="G27" s="178">
        <f>$C$13</f>
        <v>0.1</v>
      </c>
      <c r="H27" s="178">
        <f>G27+1%</f>
        <v>0.11</v>
      </c>
      <c r="I27" s="183">
        <f>D27*G27*$C27/12</f>
        <v>0.69444444444444453</v>
      </c>
      <c r="J27" s="184">
        <f>D27*H27*(12-$C27)/12</f>
        <v>8.4027777777777768</v>
      </c>
      <c r="K27" s="179">
        <f>F27*EXP(-C27/12*$D$7)</f>
        <v>91.285516835801744</v>
      </c>
      <c r="L27" s="179">
        <f>F27*EXP(-C27/12*$D$8)</f>
        <v>91.209477259329205</v>
      </c>
      <c r="M27" s="223">
        <f>IF(C27&gt;$C$17,0,$C$16/$C$17)</f>
        <v>-83.333333333333329</v>
      </c>
      <c r="N27" s="177">
        <f>($C$16-SUM($M$26:M26))*P27/12</f>
        <v>-8.3333333333333339</v>
      </c>
      <c r="O27" s="177">
        <f>M27+N27</f>
        <v>-91.666666666666657</v>
      </c>
      <c r="P27" s="178">
        <f>$C$18</f>
        <v>0.1</v>
      </c>
      <c r="Q27" s="178">
        <f>P27+1%</f>
        <v>0.11</v>
      </c>
      <c r="R27" s="183">
        <f>M27*P27*$C27/12</f>
        <v>-0.69444444444444453</v>
      </c>
      <c r="S27" s="184">
        <f>M27*Q27*(12-$C27)/12</f>
        <v>-8.4027777777777768</v>
      </c>
      <c r="T27" s="179">
        <f>O27*EXP(-C27/12*$D$7)</f>
        <v>-91.285516835801744</v>
      </c>
      <c r="U27" s="224">
        <f>O27*EXP(-C27/12*$D$8)</f>
        <v>-91.209477259329205</v>
      </c>
      <c r="W27" s="182">
        <f>(L27+U27)-(K27+T27)</f>
        <v>0</v>
      </c>
    </row>
    <row r="28" spans="2:23" x14ac:dyDescent="0.2">
      <c r="C28" s="1">
        <v>2</v>
      </c>
      <c r="D28" s="176">
        <f t="shared" ref="D28:D50" si="0">IF(C28&gt;$C$12,0,$C$11/$C$12)</f>
        <v>83.333333333333329</v>
      </c>
      <c r="E28" s="177">
        <f>($C$11-SUM($D$26:D27))*G28/12</f>
        <v>7.6388888888888893</v>
      </c>
      <c r="F28" s="177">
        <f t="shared" ref="F28:F50" si="1">D28+E28</f>
        <v>90.972222222222214</v>
      </c>
      <c r="G28" s="178">
        <f t="shared" ref="G28:G50" si="2">$C$13</f>
        <v>0.1</v>
      </c>
      <c r="H28" s="178">
        <f t="shared" ref="H28:H50" si="3">G28+1%</f>
        <v>0.11</v>
      </c>
      <c r="I28" s="183">
        <f t="shared" ref="I28:I38" si="4">D28*G28*$C28/12</f>
        <v>1.3888888888888891</v>
      </c>
      <c r="J28" s="184">
        <f t="shared" ref="J28:J38" si="5">D28*H28*(12-$C28)/12</f>
        <v>7.6388888888888884</v>
      </c>
      <c r="K28" s="179">
        <f t="shared" ref="K28:K50" si="6">F28*EXP(-C28/12*$D$7)</f>
        <v>90.217270372008841</v>
      </c>
      <c r="L28" s="179">
        <f t="shared" ref="L28:L50" si="7">F28*EXP(-C28/12*$D$8)</f>
        <v>90.067033486903483</v>
      </c>
      <c r="M28" s="223">
        <f t="shared" ref="M28:M50" si="8">IF(C28&gt;$C$17,0,$C$16/$C$17)</f>
        <v>-83.333333333333329</v>
      </c>
      <c r="N28" s="177">
        <f>($C$16-SUM($M$26:M27))*P28/12</f>
        <v>-7.6388888888888893</v>
      </c>
      <c r="O28" s="177">
        <f t="shared" ref="O28:O50" si="9">M28+N28</f>
        <v>-90.972222222222214</v>
      </c>
      <c r="P28" s="178">
        <f>$C$18</f>
        <v>0.1</v>
      </c>
      <c r="Q28" s="178">
        <f>P28+1%</f>
        <v>0.11</v>
      </c>
      <c r="R28" s="183">
        <f t="shared" ref="R28:R38" si="10">M28*P28*$C28/12</f>
        <v>-1.3888888888888891</v>
      </c>
      <c r="S28" s="184">
        <f t="shared" ref="S28:S38" si="11">M28*Q28*(12-$C28)/12</f>
        <v>-7.6388888888888884</v>
      </c>
      <c r="T28" s="179">
        <f t="shared" ref="T28:T50" si="12">O28*EXP(-C28/12*$D$7)</f>
        <v>-90.217270372008841</v>
      </c>
      <c r="U28" s="224">
        <f t="shared" ref="U28:U50" si="13">O28*EXP(-C28/12*$D$8)</f>
        <v>-90.067033486903483</v>
      </c>
      <c r="W28" s="182">
        <f t="shared" ref="W28:W50" si="14">(L28+U28)-(K28+T28)</f>
        <v>0</v>
      </c>
    </row>
    <row r="29" spans="2:23" x14ac:dyDescent="0.2">
      <c r="C29" s="1">
        <f>C28+1</f>
        <v>3</v>
      </c>
      <c r="D29" s="176">
        <f t="shared" si="0"/>
        <v>83.333333333333329</v>
      </c>
      <c r="E29" s="177">
        <f>($C$11-SUM($D$26:D28))*G29/12</f>
        <v>6.9444444444444455</v>
      </c>
      <c r="F29" s="177">
        <f t="shared" si="1"/>
        <v>90.277777777777771</v>
      </c>
      <c r="G29" s="178">
        <f t="shared" si="2"/>
        <v>0.1</v>
      </c>
      <c r="H29" s="178">
        <f t="shared" si="3"/>
        <v>0.11</v>
      </c>
      <c r="I29" s="183">
        <f t="shared" si="4"/>
        <v>2.0833333333333335</v>
      </c>
      <c r="J29" s="184">
        <f t="shared" si="5"/>
        <v>6.875</v>
      </c>
      <c r="K29" s="179">
        <f t="shared" si="6"/>
        <v>89.15632921125318</v>
      </c>
      <c r="L29" s="179">
        <f t="shared" si="7"/>
        <v>88.933716769720931</v>
      </c>
      <c r="M29" s="223">
        <f t="shared" si="8"/>
        <v>-83.333333333333329</v>
      </c>
      <c r="N29" s="177">
        <f>($C$16-SUM($M$26:M28))*P29/12</f>
        <v>-6.9444444444444455</v>
      </c>
      <c r="O29" s="177">
        <f t="shared" si="9"/>
        <v>-90.277777777777771</v>
      </c>
      <c r="P29" s="178">
        <f t="shared" ref="P29:P50" si="15">$C$18</f>
        <v>0.1</v>
      </c>
      <c r="Q29" s="178">
        <f t="shared" ref="Q29:Q50" si="16">P29+1%</f>
        <v>0.11</v>
      </c>
      <c r="R29" s="183">
        <f t="shared" si="10"/>
        <v>-2.0833333333333335</v>
      </c>
      <c r="S29" s="184">
        <f t="shared" si="11"/>
        <v>-6.875</v>
      </c>
      <c r="T29" s="179">
        <f t="shared" si="12"/>
        <v>-89.15632921125318</v>
      </c>
      <c r="U29" s="224">
        <f t="shared" si="13"/>
        <v>-88.933716769720931</v>
      </c>
      <c r="W29" s="182">
        <f t="shared" si="14"/>
        <v>0</v>
      </c>
    </row>
    <row r="30" spans="2:23" x14ac:dyDescent="0.2">
      <c r="C30" s="1">
        <f t="shared" ref="C30:C50" si="17">C29+1</f>
        <v>4</v>
      </c>
      <c r="D30" s="176">
        <f t="shared" si="0"/>
        <v>83.333333333333329</v>
      </c>
      <c r="E30" s="177">
        <f>($C$11-SUM($D$26:D29))*G30/12</f>
        <v>6.25</v>
      </c>
      <c r="F30" s="177">
        <f t="shared" si="1"/>
        <v>89.583333333333329</v>
      </c>
      <c r="G30" s="178">
        <f t="shared" si="2"/>
        <v>0.1</v>
      </c>
      <c r="H30" s="178">
        <f t="shared" si="3"/>
        <v>0.11</v>
      </c>
      <c r="I30" s="183">
        <f t="shared" si="4"/>
        <v>2.7777777777777781</v>
      </c>
      <c r="J30" s="184">
        <f t="shared" si="5"/>
        <v>6.1111111111111107</v>
      </c>
      <c r="K30" s="179">
        <f t="shared" si="6"/>
        <v>88.102651071519901</v>
      </c>
      <c r="L30" s="179">
        <f t="shared" si="7"/>
        <v>87.809464483730153</v>
      </c>
      <c r="M30" s="223">
        <f t="shared" si="8"/>
        <v>-83.333333333333329</v>
      </c>
      <c r="N30" s="177">
        <f>($C$16-SUM($M$26:M29))*P30/12</f>
        <v>-6.25</v>
      </c>
      <c r="O30" s="177">
        <f t="shared" si="9"/>
        <v>-89.583333333333329</v>
      </c>
      <c r="P30" s="178">
        <f t="shared" si="15"/>
        <v>0.1</v>
      </c>
      <c r="Q30" s="178">
        <f t="shared" si="16"/>
        <v>0.11</v>
      </c>
      <c r="R30" s="183">
        <f t="shared" si="10"/>
        <v>-2.7777777777777781</v>
      </c>
      <c r="S30" s="184">
        <f t="shared" si="11"/>
        <v>-6.1111111111111107</v>
      </c>
      <c r="T30" s="179">
        <f t="shared" si="12"/>
        <v>-88.102651071519901</v>
      </c>
      <c r="U30" s="224">
        <f t="shared" si="13"/>
        <v>-87.809464483730153</v>
      </c>
      <c r="W30" s="182">
        <f t="shared" si="14"/>
        <v>0</v>
      </c>
    </row>
    <row r="31" spans="2:23" x14ac:dyDescent="0.2">
      <c r="C31" s="1">
        <f t="shared" si="17"/>
        <v>5</v>
      </c>
      <c r="D31" s="176">
        <f t="shared" si="0"/>
        <v>83.333333333333329</v>
      </c>
      <c r="E31" s="177">
        <f>($C$11-SUM($D$26:D30))*G31/12</f>
        <v>5.5555555555555562</v>
      </c>
      <c r="F31" s="177">
        <f t="shared" si="1"/>
        <v>88.888888888888886</v>
      </c>
      <c r="G31" s="178">
        <f t="shared" si="2"/>
        <v>0.1</v>
      </c>
      <c r="H31" s="178">
        <f t="shared" si="3"/>
        <v>0.11</v>
      </c>
      <c r="I31" s="183">
        <f t="shared" si="4"/>
        <v>3.4722222222222228</v>
      </c>
      <c r="J31" s="184">
        <f t="shared" si="5"/>
        <v>5.3472222222222214</v>
      </c>
      <c r="K31" s="179">
        <f t="shared" si="6"/>
        <v>87.05619389611023</v>
      </c>
      <c r="L31" s="179">
        <f t="shared" si="7"/>
        <v>86.694214402518455</v>
      </c>
      <c r="M31" s="223">
        <f t="shared" si="8"/>
        <v>-83.333333333333329</v>
      </c>
      <c r="N31" s="177">
        <f>($C$16-SUM($M$26:M30))*P31/12</f>
        <v>-5.5555555555555562</v>
      </c>
      <c r="O31" s="177">
        <f t="shared" si="9"/>
        <v>-88.888888888888886</v>
      </c>
      <c r="P31" s="178">
        <f t="shared" si="15"/>
        <v>0.1</v>
      </c>
      <c r="Q31" s="178">
        <f t="shared" si="16"/>
        <v>0.11</v>
      </c>
      <c r="R31" s="183">
        <f t="shared" si="10"/>
        <v>-3.4722222222222228</v>
      </c>
      <c r="S31" s="184">
        <f t="shared" si="11"/>
        <v>-5.3472222222222214</v>
      </c>
      <c r="T31" s="179">
        <f t="shared" si="12"/>
        <v>-87.05619389611023</v>
      </c>
      <c r="U31" s="224">
        <f t="shared" si="13"/>
        <v>-86.694214402518455</v>
      </c>
      <c r="W31" s="182">
        <f t="shared" si="14"/>
        <v>0</v>
      </c>
    </row>
    <row r="32" spans="2:23" x14ac:dyDescent="0.2">
      <c r="C32" s="1">
        <f t="shared" si="17"/>
        <v>6</v>
      </c>
      <c r="D32" s="176">
        <f t="shared" si="0"/>
        <v>83.333333333333329</v>
      </c>
      <c r="E32" s="177">
        <f>($C$11-SUM($D$26:D31))*G32/12</f>
        <v>4.8611111111111116</v>
      </c>
      <c r="F32" s="177">
        <f t="shared" si="1"/>
        <v>88.194444444444443</v>
      </c>
      <c r="G32" s="178">
        <f t="shared" si="2"/>
        <v>0.1</v>
      </c>
      <c r="H32" s="178">
        <f t="shared" si="3"/>
        <v>0.11</v>
      </c>
      <c r="I32" s="183">
        <f t="shared" si="4"/>
        <v>4.166666666666667</v>
      </c>
      <c r="J32" s="184">
        <f t="shared" si="5"/>
        <v>4.583333333333333</v>
      </c>
      <c r="K32" s="179">
        <f t="shared" si="6"/>
        <v>86.016915852498784</v>
      </c>
      <c r="L32" s="179">
        <f t="shared" si="7"/>
        <v>85.587904694903145</v>
      </c>
      <c r="M32" s="223">
        <f t="shared" si="8"/>
        <v>-83.333333333333329</v>
      </c>
      <c r="N32" s="177">
        <f>($C$16-SUM($M$26:M31))*P32/12</f>
        <v>-4.8611111111111116</v>
      </c>
      <c r="O32" s="177">
        <f t="shared" si="9"/>
        <v>-88.194444444444443</v>
      </c>
      <c r="P32" s="178">
        <f t="shared" si="15"/>
        <v>0.1</v>
      </c>
      <c r="Q32" s="178">
        <f t="shared" si="16"/>
        <v>0.11</v>
      </c>
      <c r="R32" s="183">
        <f t="shared" si="10"/>
        <v>-4.166666666666667</v>
      </c>
      <c r="S32" s="184">
        <f t="shared" si="11"/>
        <v>-4.583333333333333</v>
      </c>
      <c r="T32" s="179">
        <f t="shared" si="12"/>
        <v>-86.016915852498784</v>
      </c>
      <c r="U32" s="224">
        <f t="shared" si="13"/>
        <v>-85.587904694903145</v>
      </c>
      <c r="W32" s="182">
        <f t="shared" si="14"/>
        <v>0</v>
      </c>
    </row>
    <row r="33" spans="3:23" x14ac:dyDescent="0.2">
      <c r="C33" s="1">
        <f t="shared" si="17"/>
        <v>7</v>
      </c>
      <c r="D33" s="176">
        <f t="shared" si="0"/>
        <v>83.333333333333329</v>
      </c>
      <c r="E33" s="177">
        <f>($C$11-SUM($D$26:D32))*G33/12</f>
        <v>4.166666666666667</v>
      </c>
      <c r="F33" s="177">
        <f t="shared" si="1"/>
        <v>87.5</v>
      </c>
      <c r="G33" s="178">
        <f t="shared" si="2"/>
        <v>0.1</v>
      </c>
      <c r="H33" s="178">
        <f t="shared" si="3"/>
        <v>0.11</v>
      </c>
      <c r="I33" s="183">
        <f t="shared" si="4"/>
        <v>4.8611111111111116</v>
      </c>
      <c r="J33" s="184">
        <f t="shared" si="5"/>
        <v>3.8194444444444442</v>
      </c>
      <c r="K33" s="179">
        <f t="shared" si="6"/>
        <v>84.984775331196374</v>
      </c>
      <c r="L33" s="179">
        <f t="shared" si="7"/>
        <v>84.490473922537063</v>
      </c>
      <c r="M33" s="223">
        <f t="shared" si="8"/>
        <v>-83.333333333333329</v>
      </c>
      <c r="N33" s="177">
        <f>($C$16-SUM($M$26:M32))*P33/12</f>
        <v>-4.166666666666667</v>
      </c>
      <c r="O33" s="177">
        <f t="shared" si="9"/>
        <v>-87.5</v>
      </c>
      <c r="P33" s="178">
        <f t="shared" si="15"/>
        <v>0.1</v>
      </c>
      <c r="Q33" s="178">
        <f t="shared" si="16"/>
        <v>0.11</v>
      </c>
      <c r="R33" s="183">
        <f t="shared" si="10"/>
        <v>-4.8611111111111116</v>
      </c>
      <c r="S33" s="184">
        <f t="shared" si="11"/>
        <v>-3.8194444444444442</v>
      </c>
      <c r="T33" s="179">
        <f t="shared" si="12"/>
        <v>-84.984775331196374</v>
      </c>
      <c r="U33" s="224">
        <f t="shared" si="13"/>
        <v>-84.490473922537063</v>
      </c>
      <c r="W33" s="182">
        <f t="shared" si="14"/>
        <v>0</v>
      </c>
    </row>
    <row r="34" spans="3:23" x14ac:dyDescent="0.2">
      <c r="C34" s="1">
        <f t="shared" si="17"/>
        <v>8</v>
      </c>
      <c r="D34" s="176">
        <f t="shared" si="0"/>
        <v>83.333333333333329</v>
      </c>
      <c r="E34" s="177">
        <f>($C$11-SUM($D$26:D33))*G34/12</f>
        <v>3.4722222222222232</v>
      </c>
      <c r="F34" s="177">
        <f t="shared" si="1"/>
        <v>86.805555555555557</v>
      </c>
      <c r="G34" s="178">
        <f t="shared" si="2"/>
        <v>0.1</v>
      </c>
      <c r="H34" s="178">
        <f t="shared" si="3"/>
        <v>0.11</v>
      </c>
      <c r="I34" s="183">
        <f t="shared" si="4"/>
        <v>5.5555555555555562</v>
      </c>
      <c r="J34" s="184">
        <f t="shared" si="5"/>
        <v>3.0555555555555554</v>
      </c>
      <c r="K34" s="179">
        <f t="shared" si="6"/>
        <v>83.95973094461857</v>
      </c>
      <c r="L34" s="179">
        <f t="shared" si="7"/>
        <v>83.40186103752805</v>
      </c>
      <c r="M34" s="223">
        <f t="shared" si="8"/>
        <v>-83.333333333333329</v>
      </c>
      <c r="N34" s="177">
        <f>($C$16-SUM($M$26:M33))*P34/12</f>
        <v>-3.4722222222222232</v>
      </c>
      <c r="O34" s="177">
        <f t="shared" si="9"/>
        <v>-86.805555555555557</v>
      </c>
      <c r="P34" s="178">
        <f t="shared" si="15"/>
        <v>0.1</v>
      </c>
      <c r="Q34" s="178">
        <f t="shared" si="16"/>
        <v>0.11</v>
      </c>
      <c r="R34" s="183">
        <f t="shared" si="10"/>
        <v>-5.5555555555555562</v>
      </c>
      <c r="S34" s="184">
        <f t="shared" si="11"/>
        <v>-3.0555555555555554</v>
      </c>
      <c r="T34" s="179">
        <f t="shared" si="12"/>
        <v>-83.95973094461857</v>
      </c>
      <c r="U34" s="224">
        <f t="shared" si="13"/>
        <v>-83.40186103752805</v>
      </c>
      <c r="W34" s="182">
        <f t="shared" si="14"/>
        <v>0</v>
      </c>
    </row>
    <row r="35" spans="3:23" x14ac:dyDescent="0.2">
      <c r="C35" s="1">
        <f t="shared" si="17"/>
        <v>9</v>
      </c>
      <c r="D35" s="176">
        <f t="shared" si="0"/>
        <v>83.333333333333329</v>
      </c>
      <c r="E35" s="177">
        <f>($C$11-SUM($D$26:D34))*G35/12</f>
        <v>2.7777777777777781</v>
      </c>
      <c r="F35" s="177">
        <f t="shared" si="1"/>
        <v>86.1111111111111</v>
      </c>
      <c r="G35" s="178">
        <f t="shared" si="2"/>
        <v>0.1</v>
      </c>
      <c r="H35" s="178">
        <f t="shared" si="3"/>
        <v>0.11</v>
      </c>
      <c r="I35" s="183">
        <f t="shared" si="4"/>
        <v>6.25</v>
      </c>
      <c r="J35" s="184">
        <f t="shared" si="5"/>
        <v>2.2916666666666665</v>
      </c>
      <c r="K35" s="179">
        <f t="shared" si="6"/>
        <v>82.941741525959642</v>
      </c>
      <c r="L35" s="179">
        <f t="shared" si="7"/>
        <v>82.322005380072483</v>
      </c>
      <c r="M35" s="223">
        <f t="shared" si="8"/>
        <v>-83.333333333333329</v>
      </c>
      <c r="N35" s="177">
        <f>($C$16-SUM($M$26:M34))*P35/12</f>
        <v>-2.7777777777777781</v>
      </c>
      <c r="O35" s="177">
        <f t="shared" si="9"/>
        <v>-86.1111111111111</v>
      </c>
      <c r="P35" s="178">
        <f t="shared" si="15"/>
        <v>0.1</v>
      </c>
      <c r="Q35" s="178">
        <f t="shared" si="16"/>
        <v>0.11</v>
      </c>
      <c r="R35" s="183">
        <f t="shared" si="10"/>
        <v>-6.25</v>
      </c>
      <c r="S35" s="184">
        <f t="shared" si="11"/>
        <v>-2.2916666666666665</v>
      </c>
      <c r="T35" s="179">
        <f t="shared" si="12"/>
        <v>-82.941741525959642</v>
      </c>
      <c r="U35" s="224">
        <f t="shared" si="13"/>
        <v>-82.322005380072483</v>
      </c>
      <c r="W35" s="182">
        <f t="shared" si="14"/>
        <v>0</v>
      </c>
    </row>
    <row r="36" spans="3:23" x14ac:dyDescent="0.2">
      <c r="C36" s="1">
        <f t="shared" si="17"/>
        <v>10</v>
      </c>
      <c r="D36" s="176">
        <f t="shared" si="0"/>
        <v>83.333333333333329</v>
      </c>
      <c r="E36" s="177">
        <f>($C$11-SUM($D$26:D35))*G36/12</f>
        <v>2.0833333333333335</v>
      </c>
      <c r="F36" s="177">
        <f t="shared" si="1"/>
        <v>85.416666666666657</v>
      </c>
      <c r="G36" s="178">
        <f t="shared" si="2"/>
        <v>0.1</v>
      </c>
      <c r="H36" s="178">
        <f t="shared" si="3"/>
        <v>0.11</v>
      </c>
      <c r="I36" s="183">
        <f t="shared" si="4"/>
        <v>6.9444444444444455</v>
      </c>
      <c r="J36" s="184">
        <f t="shared" si="5"/>
        <v>1.5277777777777777</v>
      </c>
      <c r="K36" s="179">
        <f t="shared" si="6"/>
        <v>81.930766128072207</v>
      </c>
      <c r="L36" s="179">
        <f t="shared" si="7"/>
        <v>81.25084667610264</v>
      </c>
      <c r="M36" s="223">
        <f t="shared" si="8"/>
        <v>-83.333333333333329</v>
      </c>
      <c r="N36" s="177">
        <f>($C$16-SUM($M$26:M35))*P36/12</f>
        <v>-2.0833333333333335</v>
      </c>
      <c r="O36" s="177">
        <f t="shared" si="9"/>
        <v>-85.416666666666657</v>
      </c>
      <c r="P36" s="178">
        <f t="shared" si="15"/>
        <v>0.1</v>
      </c>
      <c r="Q36" s="178">
        <f t="shared" si="16"/>
        <v>0.11</v>
      </c>
      <c r="R36" s="183">
        <f t="shared" si="10"/>
        <v>-6.9444444444444455</v>
      </c>
      <c r="S36" s="184">
        <f t="shared" si="11"/>
        <v>-1.5277777777777777</v>
      </c>
      <c r="T36" s="179">
        <f t="shared" si="12"/>
        <v>-81.930766128072207</v>
      </c>
      <c r="U36" s="224">
        <f t="shared" si="13"/>
        <v>-81.25084667610264</v>
      </c>
      <c r="W36" s="182">
        <f t="shared" si="14"/>
        <v>0</v>
      </c>
    </row>
    <row r="37" spans="3:23" x14ac:dyDescent="0.2">
      <c r="C37" s="1">
        <f t="shared" si="17"/>
        <v>11</v>
      </c>
      <c r="D37" s="176">
        <f t="shared" si="0"/>
        <v>83.333333333333329</v>
      </c>
      <c r="E37" s="177">
        <f>($C$11-SUM($D$26:D36))*G37/12</f>
        <v>1.3888888888888886</v>
      </c>
      <c r="F37" s="177">
        <f t="shared" si="1"/>
        <v>84.722222222222214</v>
      </c>
      <c r="G37" s="178">
        <f t="shared" si="2"/>
        <v>0.1</v>
      </c>
      <c r="H37" s="178">
        <f t="shared" si="3"/>
        <v>0.11</v>
      </c>
      <c r="I37" s="183">
        <f t="shared" si="4"/>
        <v>7.6388888888888893</v>
      </c>
      <c r="J37" s="184">
        <f t="shared" si="5"/>
        <v>0.76388888888888884</v>
      </c>
      <c r="K37" s="179">
        <f t="shared" si="6"/>
        <v>80.926764022352202</v>
      </c>
      <c r="L37" s="179">
        <f t="shared" si="7"/>
        <v>80.188325034947937</v>
      </c>
      <c r="M37" s="223">
        <f t="shared" si="8"/>
        <v>-83.333333333333329</v>
      </c>
      <c r="N37" s="177">
        <f>($C$16-SUM($M$26:M36))*P37/12</f>
        <v>-1.3888888888888886</v>
      </c>
      <c r="O37" s="177">
        <f t="shared" si="9"/>
        <v>-84.722222222222214</v>
      </c>
      <c r="P37" s="178">
        <f t="shared" si="15"/>
        <v>0.1</v>
      </c>
      <c r="Q37" s="178">
        <f t="shared" si="16"/>
        <v>0.11</v>
      </c>
      <c r="R37" s="183">
        <f t="shared" si="10"/>
        <v>-7.6388888888888893</v>
      </c>
      <c r="S37" s="184">
        <f t="shared" si="11"/>
        <v>-0.76388888888888884</v>
      </c>
      <c r="T37" s="179">
        <f t="shared" si="12"/>
        <v>-80.926764022352202</v>
      </c>
      <c r="U37" s="224">
        <f t="shared" si="13"/>
        <v>-80.188325034947937</v>
      </c>
      <c r="W37" s="182">
        <f t="shared" si="14"/>
        <v>0</v>
      </c>
    </row>
    <row r="38" spans="3:23" x14ac:dyDescent="0.2">
      <c r="C38" s="1">
        <f t="shared" si="17"/>
        <v>12</v>
      </c>
      <c r="D38" s="176">
        <f t="shared" si="0"/>
        <v>83.333333333333329</v>
      </c>
      <c r="E38" s="177">
        <f>($C$11-SUM($D$26:D37))*G38/12</f>
        <v>0.69444444444444386</v>
      </c>
      <c r="F38" s="177">
        <f t="shared" si="1"/>
        <v>84.027777777777771</v>
      </c>
      <c r="G38" s="178">
        <f t="shared" si="2"/>
        <v>0.1</v>
      </c>
      <c r="H38" s="178">
        <f t="shared" si="3"/>
        <v>0.11</v>
      </c>
      <c r="I38" s="183">
        <f t="shared" si="4"/>
        <v>8.3333333333333339</v>
      </c>
      <c r="J38" s="184">
        <f t="shared" si="5"/>
        <v>0</v>
      </c>
      <c r="K38" s="179">
        <f t="shared" si="6"/>
        <v>79.929694697629429</v>
      </c>
      <c r="L38" s="179">
        <f t="shared" si="7"/>
        <v>79.134380947009788</v>
      </c>
      <c r="M38" s="223">
        <f t="shared" si="8"/>
        <v>-83.333333333333329</v>
      </c>
      <c r="N38" s="177">
        <f>($C$16-SUM($M$26:M37))*P38/12</f>
        <v>-0.69444444444444386</v>
      </c>
      <c r="O38" s="177">
        <f t="shared" si="9"/>
        <v>-84.027777777777771</v>
      </c>
      <c r="P38" s="178">
        <f t="shared" si="15"/>
        <v>0.1</v>
      </c>
      <c r="Q38" s="178">
        <f t="shared" si="16"/>
        <v>0.11</v>
      </c>
      <c r="R38" s="183">
        <f t="shared" si="10"/>
        <v>-8.3333333333333339</v>
      </c>
      <c r="S38" s="184">
        <f t="shared" si="11"/>
        <v>0</v>
      </c>
      <c r="T38" s="179">
        <f t="shared" si="12"/>
        <v>-79.929694697629429</v>
      </c>
      <c r="U38" s="224">
        <f t="shared" si="13"/>
        <v>-79.134380947009788</v>
      </c>
      <c r="W38" s="182">
        <f t="shared" si="14"/>
        <v>0</v>
      </c>
    </row>
    <row r="39" spans="3:23" x14ac:dyDescent="0.2">
      <c r="C39" s="1">
        <f t="shared" si="17"/>
        <v>13</v>
      </c>
      <c r="D39" s="176">
        <f t="shared" si="0"/>
        <v>0</v>
      </c>
      <c r="E39" s="177">
        <f>($C$11-SUM($D$26:D38))*G39/12</f>
        <v>-9.4739031434680023E-16</v>
      </c>
      <c r="F39" s="177">
        <f t="shared" si="1"/>
        <v>-9.4739031434680023E-16</v>
      </c>
      <c r="G39" s="178">
        <f t="shared" si="2"/>
        <v>0.1</v>
      </c>
      <c r="H39" s="178">
        <f t="shared" si="3"/>
        <v>0.11</v>
      </c>
      <c r="I39" s="185">
        <f>D39*G39</f>
        <v>0</v>
      </c>
      <c r="J39" s="178"/>
      <c r="K39" s="179">
        <f t="shared" si="6"/>
        <v>-8.9743841566659706E-16</v>
      </c>
      <c r="L39" s="179">
        <f t="shared" si="7"/>
        <v>-8.8776863869327693E-16</v>
      </c>
      <c r="M39" s="225">
        <f t="shared" si="8"/>
        <v>0</v>
      </c>
      <c r="N39" s="187">
        <f>($C$16-SUM($M$26:M38))*P39/12</f>
        <v>9.4739031434680023E-16</v>
      </c>
      <c r="O39" s="187">
        <f t="shared" si="9"/>
        <v>9.4739031434680023E-16</v>
      </c>
      <c r="P39" s="178">
        <f t="shared" si="15"/>
        <v>0.1</v>
      </c>
      <c r="Q39" s="178">
        <f t="shared" si="16"/>
        <v>0.11</v>
      </c>
      <c r="R39" s="183">
        <f>M39*P39</f>
        <v>0</v>
      </c>
      <c r="S39" s="178"/>
      <c r="T39" s="179">
        <f t="shared" si="12"/>
        <v>8.9743841566659706E-16</v>
      </c>
      <c r="U39" s="224">
        <f t="shared" si="13"/>
        <v>8.8776863869327693E-16</v>
      </c>
      <c r="W39" s="182">
        <f t="shared" si="14"/>
        <v>0</v>
      </c>
    </row>
    <row r="40" spans="3:23" x14ac:dyDescent="0.2">
      <c r="C40" s="1">
        <f t="shared" si="17"/>
        <v>14</v>
      </c>
      <c r="D40" s="176">
        <f t="shared" si="0"/>
        <v>0</v>
      </c>
      <c r="E40" s="177">
        <f>($C$11-SUM($D$26:D39))*G40/12</f>
        <v>-9.4739031434680023E-16</v>
      </c>
      <c r="F40" s="177">
        <f t="shared" si="1"/>
        <v>-9.4739031434680023E-16</v>
      </c>
      <c r="G40" s="178">
        <f t="shared" si="2"/>
        <v>0.1</v>
      </c>
      <c r="H40" s="178">
        <f t="shared" si="3"/>
        <v>0.11</v>
      </c>
      <c r="I40" s="185">
        <f t="shared" ref="I40:I50" si="18">D40*G40</f>
        <v>0</v>
      </c>
      <c r="J40" s="178"/>
      <c r="K40" s="179">
        <f t="shared" si="6"/>
        <v>-8.9370686839012802E-16</v>
      </c>
      <c r="L40" s="179">
        <f t="shared" si="7"/>
        <v>-8.833408741357102E-16</v>
      </c>
      <c r="M40" s="225">
        <f t="shared" si="8"/>
        <v>0</v>
      </c>
      <c r="N40" s="187">
        <f>($C$16-SUM($M$26:M39))*P40/12</f>
        <v>9.4739031434680023E-16</v>
      </c>
      <c r="O40" s="187">
        <f t="shared" si="9"/>
        <v>9.4739031434680023E-16</v>
      </c>
      <c r="P40" s="178">
        <f t="shared" si="15"/>
        <v>0.1</v>
      </c>
      <c r="Q40" s="178">
        <f t="shared" si="16"/>
        <v>0.11</v>
      </c>
      <c r="R40" s="183">
        <f t="shared" ref="R40:R50" si="19">M40*P40</f>
        <v>0</v>
      </c>
      <c r="S40" s="178"/>
      <c r="T40" s="179">
        <f t="shared" si="12"/>
        <v>8.9370686839012802E-16</v>
      </c>
      <c r="U40" s="224">
        <f t="shared" si="13"/>
        <v>8.833408741357102E-16</v>
      </c>
      <c r="W40" s="182">
        <f t="shared" si="14"/>
        <v>0</v>
      </c>
    </row>
    <row r="41" spans="3:23" x14ac:dyDescent="0.2">
      <c r="C41" s="1">
        <f t="shared" si="17"/>
        <v>15</v>
      </c>
      <c r="D41" s="176">
        <f t="shared" si="0"/>
        <v>0</v>
      </c>
      <c r="E41" s="177">
        <f>($C$11-SUM($D$26:D40))*G41/12</f>
        <v>-9.4739031434680023E-16</v>
      </c>
      <c r="F41" s="177">
        <f t="shared" si="1"/>
        <v>-9.4739031434680023E-16</v>
      </c>
      <c r="G41" s="178">
        <f t="shared" si="2"/>
        <v>0.1</v>
      </c>
      <c r="H41" s="178">
        <f t="shared" si="3"/>
        <v>0.11</v>
      </c>
      <c r="I41" s="185">
        <f t="shared" si="18"/>
        <v>0</v>
      </c>
      <c r="J41" s="178"/>
      <c r="K41" s="179">
        <f t="shared" si="6"/>
        <v>-8.899908368803493E-16</v>
      </c>
      <c r="L41" s="179">
        <f t="shared" si="7"/>
        <v>-8.7893519314600403E-16</v>
      </c>
      <c r="M41" s="225">
        <f t="shared" si="8"/>
        <v>0</v>
      </c>
      <c r="N41" s="187">
        <f>($C$16-SUM($M$26:M40))*P41/12</f>
        <v>9.4739031434680023E-16</v>
      </c>
      <c r="O41" s="187">
        <f t="shared" si="9"/>
        <v>9.4739031434680023E-16</v>
      </c>
      <c r="P41" s="178">
        <f t="shared" si="15"/>
        <v>0.1</v>
      </c>
      <c r="Q41" s="178">
        <f t="shared" si="16"/>
        <v>0.11</v>
      </c>
      <c r="R41" s="183">
        <f t="shared" si="19"/>
        <v>0</v>
      </c>
      <c r="S41" s="178"/>
      <c r="T41" s="179">
        <f t="shared" si="12"/>
        <v>8.899908368803493E-16</v>
      </c>
      <c r="U41" s="224">
        <f t="shared" si="13"/>
        <v>8.7893519314600403E-16</v>
      </c>
      <c r="W41" s="182">
        <f t="shared" si="14"/>
        <v>0</v>
      </c>
    </row>
    <row r="42" spans="3:23" x14ac:dyDescent="0.2">
      <c r="C42" s="1">
        <f t="shared" si="17"/>
        <v>16</v>
      </c>
      <c r="D42" s="176">
        <f t="shared" si="0"/>
        <v>0</v>
      </c>
      <c r="E42" s="177">
        <f>($C$11-SUM($D$26:D41))*G42/12</f>
        <v>-9.4739031434680023E-16</v>
      </c>
      <c r="F42" s="177">
        <f t="shared" si="1"/>
        <v>-9.4739031434680023E-16</v>
      </c>
      <c r="G42" s="178">
        <f t="shared" si="2"/>
        <v>0.1</v>
      </c>
      <c r="H42" s="178">
        <f t="shared" si="3"/>
        <v>0.11</v>
      </c>
      <c r="I42" s="185">
        <f t="shared" si="18"/>
        <v>0</v>
      </c>
      <c r="J42" s="178"/>
      <c r="K42" s="179">
        <f t="shared" si="6"/>
        <v>-8.8629025662273175E-16</v>
      </c>
      <c r="L42" s="179">
        <f t="shared" si="7"/>
        <v>-8.7455148558190454E-16</v>
      </c>
      <c r="M42" s="225">
        <f t="shared" si="8"/>
        <v>0</v>
      </c>
      <c r="N42" s="187">
        <f>($C$16-SUM($M$26:M41))*P42/12</f>
        <v>9.4739031434680023E-16</v>
      </c>
      <c r="O42" s="187">
        <f t="shared" si="9"/>
        <v>9.4739031434680023E-16</v>
      </c>
      <c r="P42" s="178">
        <f t="shared" si="15"/>
        <v>0.1</v>
      </c>
      <c r="Q42" s="178">
        <f t="shared" si="16"/>
        <v>0.11</v>
      </c>
      <c r="R42" s="183">
        <f t="shared" si="19"/>
        <v>0</v>
      </c>
      <c r="S42" s="178"/>
      <c r="T42" s="179">
        <f t="shared" si="12"/>
        <v>8.8629025662273175E-16</v>
      </c>
      <c r="U42" s="224">
        <f t="shared" si="13"/>
        <v>8.7455148558190454E-16</v>
      </c>
      <c r="W42" s="182">
        <f t="shared" si="14"/>
        <v>0</v>
      </c>
    </row>
    <row r="43" spans="3:23" x14ac:dyDescent="0.2">
      <c r="C43" s="1">
        <f t="shared" si="17"/>
        <v>17</v>
      </c>
      <c r="D43" s="176">
        <f t="shared" si="0"/>
        <v>0</v>
      </c>
      <c r="E43" s="177">
        <f>($C$11-SUM($D$26:D42))*G43/12</f>
        <v>-9.4739031434680023E-16</v>
      </c>
      <c r="F43" s="177">
        <f t="shared" si="1"/>
        <v>-9.4739031434680023E-16</v>
      </c>
      <c r="G43" s="178">
        <f t="shared" si="2"/>
        <v>0.1</v>
      </c>
      <c r="H43" s="178">
        <f t="shared" si="3"/>
        <v>0.11</v>
      </c>
      <c r="I43" s="185">
        <f t="shared" si="18"/>
        <v>0</v>
      </c>
      <c r="J43" s="178"/>
      <c r="K43" s="179">
        <f t="shared" si="6"/>
        <v>-8.8260506337099726E-16</v>
      </c>
      <c r="L43" s="179">
        <f t="shared" si="7"/>
        <v>-8.7018964185049424E-16</v>
      </c>
      <c r="M43" s="225">
        <f t="shared" si="8"/>
        <v>0</v>
      </c>
      <c r="N43" s="187">
        <f>($C$16-SUM($M$26:M42))*P43/12</f>
        <v>9.4739031434680023E-16</v>
      </c>
      <c r="O43" s="187">
        <f t="shared" si="9"/>
        <v>9.4739031434680023E-16</v>
      </c>
      <c r="P43" s="178">
        <f t="shared" si="15"/>
        <v>0.1</v>
      </c>
      <c r="Q43" s="178">
        <f t="shared" si="16"/>
        <v>0.11</v>
      </c>
      <c r="R43" s="183">
        <f t="shared" si="19"/>
        <v>0</v>
      </c>
      <c r="S43" s="178"/>
      <c r="T43" s="179">
        <f t="shared" si="12"/>
        <v>8.8260506337099726E-16</v>
      </c>
      <c r="U43" s="224">
        <f t="shared" si="13"/>
        <v>8.7018964185049424E-16</v>
      </c>
      <c r="W43" s="182">
        <f t="shared" si="14"/>
        <v>0</v>
      </c>
    </row>
    <row r="44" spans="3:23" x14ac:dyDescent="0.2">
      <c r="C44" s="1">
        <f t="shared" si="17"/>
        <v>18</v>
      </c>
      <c r="D44" s="176">
        <f t="shared" si="0"/>
        <v>0</v>
      </c>
      <c r="E44" s="177">
        <f>($C$11-SUM($D$26:D43))*G44/12</f>
        <v>-9.4739031434680023E-16</v>
      </c>
      <c r="F44" s="177">
        <f t="shared" si="1"/>
        <v>-9.4739031434680023E-16</v>
      </c>
      <c r="G44" s="178">
        <f t="shared" si="2"/>
        <v>0.1</v>
      </c>
      <c r="H44" s="178">
        <f t="shared" si="3"/>
        <v>0.11</v>
      </c>
      <c r="I44" s="185">
        <f t="shared" si="18"/>
        <v>0</v>
      </c>
      <c r="J44" s="178"/>
      <c r="K44" s="179">
        <f t="shared" si="6"/>
        <v>-8.7893519314600403E-16</v>
      </c>
      <c r="L44" s="179">
        <f t="shared" si="7"/>
        <v>-8.6584955290545256E-16</v>
      </c>
      <c r="M44" s="225">
        <f t="shared" si="8"/>
        <v>0</v>
      </c>
      <c r="N44" s="187">
        <f>($C$16-SUM($M$26:M43))*P44/12</f>
        <v>9.4739031434680023E-16</v>
      </c>
      <c r="O44" s="187">
        <f t="shared" si="9"/>
        <v>9.4739031434680023E-16</v>
      </c>
      <c r="P44" s="178">
        <f t="shared" si="15"/>
        <v>0.1</v>
      </c>
      <c r="Q44" s="178">
        <f t="shared" si="16"/>
        <v>0.11</v>
      </c>
      <c r="R44" s="183">
        <f t="shared" si="19"/>
        <v>0</v>
      </c>
      <c r="S44" s="178"/>
      <c r="T44" s="179">
        <f t="shared" si="12"/>
        <v>8.7893519314600403E-16</v>
      </c>
      <c r="U44" s="224">
        <f t="shared" si="13"/>
        <v>8.6584955290545256E-16</v>
      </c>
      <c r="W44" s="182">
        <f t="shared" si="14"/>
        <v>0</v>
      </c>
    </row>
    <row r="45" spans="3:23" x14ac:dyDescent="0.2">
      <c r="C45" s="1">
        <f t="shared" si="17"/>
        <v>19</v>
      </c>
      <c r="D45" s="176">
        <f t="shared" si="0"/>
        <v>0</v>
      </c>
      <c r="E45" s="177">
        <f>($C$11-SUM($D$26:D44))*G45/12</f>
        <v>-9.4739031434680023E-16</v>
      </c>
      <c r="F45" s="177">
        <f t="shared" si="1"/>
        <v>-9.4739031434680023E-16</v>
      </c>
      <c r="G45" s="178">
        <f t="shared" si="2"/>
        <v>0.1</v>
      </c>
      <c r="H45" s="178">
        <f t="shared" si="3"/>
        <v>0.11</v>
      </c>
      <c r="I45" s="185">
        <f t="shared" si="18"/>
        <v>0</v>
      </c>
      <c r="J45" s="178"/>
      <c r="K45" s="179">
        <f t="shared" si="6"/>
        <v>-8.7528058223463517E-16</v>
      </c>
      <c r="L45" s="179">
        <f t="shared" si="7"/>
        <v>-8.6153111024432996E-16</v>
      </c>
      <c r="M45" s="225">
        <f t="shared" si="8"/>
        <v>0</v>
      </c>
      <c r="N45" s="187">
        <f>($C$16-SUM($M$26:M44))*P45/12</f>
        <v>9.4739031434680023E-16</v>
      </c>
      <c r="O45" s="187">
        <f t="shared" si="9"/>
        <v>9.4739031434680023E-16</v>
      </c>
      <c r="P45" s="178">
        <f t="shared" si="15"/>
        <v>0.1</v>
      </c>
      <c r="Q45" s="178">
        <f t="shared" si="16"/>
        <v>0.11</v>
      </c>
      <c r="R45" s="183">
        <f t="shared" si="19"/>
        <v>0</v>
      </c>
      <c r="S45" s="178"/>
      <c r="T45" s="179">
        <f t="shared" si="12"/>
        <v>8.7528058223463517E-16</v>
      </c>
      <c r="U45" s="224">
        <f t="shared" si="13"/>
        <v>8.6153111024432996E-16</v>
      </c>
      <c r="W45" s="182">
        <f t="shared" si="14"/>
        <v>0</v>
      </c>
    </row>
    <row r="46" spans="3:23" x14ac:dyDescent="0.2">
      <c r="C46" s="1">
        <f t="shared" si="17"/>
        <v>20</v>
      </c>
      <c r="D46" s="176">
        <f t="shared" si="0"/>
        <v>0</v>
      </c>
      <c r="E46" s="177">
        <f>($C$11-SUM($D$26:D45))*G46/12</f>
        <v>-9.4739031434680023E-16</v>
      </c>
      <c r="F46" s="177">
        <f t="shared" si="1"/>
        <v>-9.4739031434680023E-16</v>
      </c>
      <c r="G46" s="178">
        <f t="shared" si="2"/>
        <v>0.1</v>
      </c>
      <c r="H46" s="178">
        <f t="shared" si="3"/>
        <v>0.11</v>
      </c>
      <c r="I46" s="185">
        <f t="shared" si="18"/>
        <v>0</v>
      </c>
      <c r="J46" s="178"/>
      <c r="K46" s="179">
        <f t="shared" si="6"/>
        <v>-8.716411671886924E-16</v>
      </c>
      <c r="L46" s="179">
        <f t="shared" si="7"/>
        <v>-8.5723420590583474E-16</v>
      </c>
      <c r="M46" s="225">
        <f t="shared" si="8"/>
        <v>0</v>
      </c>
      <c r="N46" s="187">
        <f>($C$16-SUM($M$26:M45))*P46/12</f>
        <v>9.4739031434680023E-16</v>
      </c>
      <c r="O46" s="187">
        <f t="shared" si="9"/>
        <v>9.4739031434680023E-16</v>
      </c>
      <c r="P46" s="178">
        <f t="shared" si="15"/>
        <v>0.1</v>
      </c>
      <c r="Q46" s="178">
        <f t="shared" si="16"/>
        <v>0.11</v>
      </c>
      <c r="R46" s="183">
        <f t="shared" si="19"/>
        <v>0</v>
      </c>
      <c r="S46" s="178"/>
      <c r="T46" s="179">
        <f t="shared" si="12"/>
        <v>8.716411671886924E-16</v>
      </c>
      <c r="U46" s="224">
        <f t="shared" si="13"/>
        <v>8.5723420590583474E-16</v>
      </c>
      <c r="W46" s="182">
        <f t="shared" si="14"/>
        <v>0</v>
      </c>
    </row>
    <row r="47" spans="3:23" x14ac:dyDescent="0.2">
      <c r="C47" s="1">
        <f t="shared" si="17"/>
        <v>21</v>
      </c>
      <c r="D47" s="176">
        <f t="shared" si="0"/>
        <v>0</v>
      </c>
      <c r="E47" s="177">
        <f>($C$11-SUM($D$26:D46))*G47/12</f>
        <v>-9.4739031434680023E-16</v>
      </c>
      <c r="F47" s="177">
        <f t="shared" si="1"/>
        <v>-9.4739031434680023E-16</v>
      </c>
      <c r="G47" s="178">
        <f t="shared" si="2"/>
        <v>0.1</v>
      </c>
      <c r="H47" s="178">
        <f t="shared" si="3"/>
        <v>0.11</v>
      </c>
      <c r="I47" s="185">
        <f t="shared" si="18"/>
        <v>0</v>
      </c>
      <c r="J47" s="178"/>
      <c r="K47" s="179">
        <f t="shared" si="6"/>
        <v>-8.6801688482379551E-16</v>
      </c>
      <c r="L47" s="179">
        <f t="shared" si="7"/>
        <v>-8.5295873246713506E-16</v>
      </c>
      <c r="M47" s="225">
        <f t="shared" si="8"/>
        <v>0</v>
      </c>
      <c r="N47" s="187">
        <f>($C$16-SUM($M$26:M46))*P47/12</f>
        <v>9.4739031434680023E-16</v>
      </c>
      <c r="O47" s="187">
        <f t="shared" si="9"/>
        <v>9.4739031434680023E-16</v>
      </c>
      <c r="P47" s="178">
        <f t="shared" si="15"/>
        <v>0.1</v>
      </c>
      <c r="Q47" s="178">
        <f t="shared" si="16"/>
        <v>0.11</v>
      </c>
      <c r="R47" s="183">
        <f t="shared" si="19"/>
        <v>0</v>
      </c>
      <c r="S47" s="178"/>
      <c r="T47" s="179">
        <f t="shared" si="12"/>
        <v>8.6801688482379551E-16</v>
      </c>
      <c r="U47" s="224">
        <f t="shared" si="13"/>
        <v>8.5295873246713506E-16</v>
      </c>
      <c r="W47" s="182">
        <f t="shared" si="14"/>
        <v>0</v>
      </c>
    </row>
    <row r="48" spans="3:23" x14ac:dyDescent="0.2">
      <c r="C48" s="1">
        <f t="shared" si="17"/>
        <v>22</v>
      </c>
      <c r="D48" s="176">
        <f t="shared" si="0"/>
        <v>0</v>
      </c>
      <c r="E48" s="177">
        <f>($C$11-SUM($D$26:D47))*G48/12</f>
        <v>-9.4739031434680023E-16</v>
      </c>
      <c r="F48" s="177">
        <f t="shared" si="1"/>
        <v>-9.4739031434680023E-16</v>
      </c>
      <c r="G48" s="178">
        <f t="shared" si="2"/>
        <v>0.1</v>
      </c>
      <c r="H48" s="178">
        <f t="shared" si="3"/>
        <v>0.11</v>
      </c>
      <c r="I48" s="185">
        <f t="shared" si="18"/>
        <v>0</v>
      </c>
      <c r="J48" s="178"/>
      <c r="K48" s="179">
        <f t="shared" si="6"/>
        <v>-8.6440767221828486E-16</v>
      </c>
      <c r="L48" s="179">
        <f t="shared" si="7"/>
        <v>-8.4870458304117182E-16</v>
      </c>
      <c r="M48" s="225">
        <f t="shared" si="8"/>
        <v>0</v>
      </c>
      <c r="N48" s="187">
        <f>($C$16-SUM($M$26:M47))*P48/12</f>
        <v>9.4739031434680023E-16</v>
      </c>
      <c r="O48" s="187">
        <f t="shared" si="9"/>
        <v>9.4739031434680023E-16</v>
      </c>
      <c r="P48" s="178">
        <f t="shared" si="15"/>
        <v>0.1</v>
      </c>
      <c r="Q48" s="178">
        <f t="shared" si="16"/>
        <v>0.11</v>
      </c>
      <c r="R48" s="183">
        <f t="shared" si="19"/>
        <v>0</v>
      </c>
      <c r="S48" s="178"/>
      <c r="T48" s="179">
        <f t="shared" si="12"/>
        <v>8.6440767221828486E-16</v>
      </c>
      <c r="U48" s="224">
        <f t="shared" si="13"/>
        <v>8.4870458304117182E-16</v>
      </c>
      <c r="W48" s="182">
        <f t="shared" si="14"/>
        <v>0</v>
      </c>
    </row>
    <row r="49" spans="3:23" x14ac:dyDescent="0.2">
      <c r="C49" s="1">
        <f t="shared" si="17"/>
        <v>23</v>
      </c>
      <c r="D49" s="176">
        <f t="shared" si="0"/>
        <v>0</v>
      </c>
      <c r="E49" s="177">
        <f>($C$11-SUM($D$26:D48))*G49/12</f>
        <v>-9.4739031434680023E-16</v>
      </c>
      <c r="F49" s="177">
        <f t="shared" si="1"/>
        <v>-9.4739031434680023E-16</v>
      </c>
      <c r="G49" s="178">
        <f t="shared" si="2"/>
        <v>0.1</v>
      </c>
      <c r="H49" s="178">
        <f t="shared" si="3"/>
        <v>0.11</v>
      </c>
      <c r="I49" s="185">
        <f t="shared" si="18"/>
        <v>0</v>
      </c>
      <c r="J49" s="178"/>
      <c r="K49" s="179">
        <f t="shared" si="6"/>
        <v>-8.6081346671212837E-16</v>
      </c>
      <c r="L49" s="179">
        <f t="shared" si="7"/>
        <v>-8.4447165127398807E-16</v>
      </c>
      <c r="M49" s="225">
        <f t="shared" si="8"/>
        <v>0</v>
      </c>
      <c r="N49" s="187">
        <f>($C$16-SUM($M$26:M48))*P49/12</f>
        <v>9.4739031434680023E-16</v>
      </c>
      <c r="O49" s="187">
        <f t="shared" si="9"/>
        <v>9.4739031434680023E-16</v>
      </c>
      <c r="P49" s="178">
        <f t="shared" si="15"/>
        <v>0.1</v>
      </c>
      <c r="Q49" s="178">
        <f t="shared" si="16"/>
        <v>0.11</v>
      </c>
      <c r="R49" s="183">
        <f t="shared" si="19"/>
        <v>0</v>
      </c>
      <c r="S49" s="178"/>
      <c r="T49" s="179">
        <f t="shared" si="12"/>
        <v>8.6081346671212837E-16</v>
      </c>
      <c r="U49" s="224">
        <f t="shared" si="13"/>
        <v>8.4447165127398807E-16</v>
      </c>
      <c r="W49" s="182">
        <f t="shared" si="14"/>
        <v>0</v>
      </c>
    </row>
    <row r="50" spans="3:23" ht="10.8" thickBot="1" x14ac:dyDescent="0.25">
      <c r="C50" s="1">
        <f t="shared" si="17"/>
        <v>24</v>
      </c>
      <c r="D50" s="197">
        <f t="shared" si="0"/>
        <v>0</v>
      </c>
      <c r="E50" s="180">
        <f>($C$11-SUM($D$26:D49))*G50/12</f>
        <v>-9.4739031434680023E-16</v>
      </c>
      <c r="F50" s="180">
        <f t="shared" si="1"/>
        <v>-9.4739031434680023E-16</v>
      </c>
      <c r="G50" s="181">
        <f t="shared" si="2"/>
        <v>0.1</v>
      </c>
      <c r="H50" s="181">
        <f t="shared" si="3"/>
        <v>0.11</v>
      </c>
      <c r="I50" s="186">
        <f t="shared" si="18"/>
        <v>0</v>
      </c>
      <c r="J50" s="181"/>
      <c r="K50" s="179">
        <f t="shared" si="6"/>
        <v>-8.5723420590583474E-16</v>
      </c>
      <c r="L50" s="179">
        <f t="shared" si="7"/>
        <v>-8.4025983134206914E-16</v>
      </c>
      <c r="M50" s="226">
        <f t="shared" si="8"/>
        <v>0</v>
      </c>
      <c r="N50" s="227">
        <f>($C$16-SUM($M$26:M49))*P50/12</f>
        <v>9.4739031434680023E-16</v>
      </c>
      <c r="O50" s="227">
        <f t="shared" si="9"/>
        <v>9.4739031434680023E-16</v>
      </c>
      <c r="P50" s="228">
        <f t="shared" si="15"/>
        <v>0.1</v>
      </c>
      <c r="Q50" s="228">
        <f t="shared" si="16"/>
        <v>0.11</v>
      </c>
      <c r="R50" s="229">
        <f t="shared" si="19"/>
        <v>0</v>
      </c>
      <c r="S50" s="228"/>
      <c r="T50" s="230">
        <f t="shared" si="12"/>
        <v>8.5723420590583474E-16</v>
      </c>
      <c r="U50" s="231">
        <f t="shared" si="13"/>
        <v>8.4025983134206914E-16</v>
      </c>
      <c r="W50" s="182">
        <f t="shared" si="14"/>
        <v>0</v>
      </c>
    </row>
  </sheetData>
  <mergeCells count="2">
    <mergeCell ref="D24:L24"/>
    <mergeCell ref="M24:U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2DE9-2721-44D4-ACB2-E0B78B628EDE}">
  <dimension ref="B2:S68"/>
  <sheetViews>
    <sheetView tabSelected="1" topLeftCell="A66" zoomScale="80" zoomScaleNormal="80" workbookViewId="0">
      <selection activeCell="F74" sqref="F74"/>
    </sheetView>
  </sheetViews>
  <sheetFormatPr defaultRowHeight="10.199999999999999" x14ac:dyDescent="0.2"/>
  <cols>
    <col min="1" max="2" width="8.88671875" style="1"/>
    <col min="3" max="3" width="20.5546875" style="1" customWidth="1"/>
    <col min="4" max="12" width="8.88671875" style="1"/>
    <col min="13" max="13" width="12" style="1" customWidth="1"/>
    <col min="14" max="16384" width="8.88671875" style="1"/>
  </cols>
  <sheetData>
    <row r="2" spans="2:19" s="78" customFormat="1" x14ac:dyDescent="0.2">
      <c r="B2" s="78" t="s">
        <v>86</v>
      </c>
    </row>
    <row r="4" spans="2:19" x14ac:dyDescent="0.2">
      <c r="B4" s="77" t="s">
        <v>88</v>
      </c>
      <c r="C4" s="77" t="s">
        <v>87</v>
      </c>
    </row>
    <row r="6" spans="2:19" x14ac:dyDescent="0.2">
      <c r="B6" s="10" t="str">
        <f>'IR gap and ∆NII - detailed calc'!B70</f>
        <v>№</v>
      </c>
      <c r="C6" s="10" t="str">
        <f>'IR gap and ∆NII - detailed calc'!C70</f>
        <v>Position</v>
      </c>
      <c r="D6" s="10" t="str">
        <f>'IR gap and ∆NII - detailed calc'!D70</f>
        <v>up to 1m</v>
      </c>
      <c r="E6" s="10" t="str">
        <f>'IR gap and ∆NII - detailed calc'!E70</f>
        <v>1-3 m</v>
      </c>
      <c r="F6" s="10" t="str">
        <f>'IR gap and ∆NII - detailed calc'!F70</f>
        <v>3-6 m</v>
      </c>
      <c r="G6" s="10" t="str">
        <f>'IR gap and ∆NII - detailed calc'!G70</f>
        <v>6-9 m</v>
      </c>
      <c r="H6" s="10" t="str">
        <f>'IR gap and ∆NII - detailed calc'!H70</f>
        <v>9-12 m</v>
      </c>
      <c r="I6" s="10" t="str">
        <f>'IR gap and ∆NII - detailed calc'!I70</f>
        <v>1-3 y</v>
      </c>
      <c r="J6" s="10" t="str">
        <f>'IR gap and ∆NII - detailed calc'!J70</f>
        <v>3-5 y</v>
      </c>
      <c r="K6" s="10" t="str">
        <f>'IR gap and ∆NII - detailed calc'!K70</f>
        <v>5-7 y</v>
      </c>
      <c r="L6" s="10" t="str">
        <f>'IR gap and ∆NII - detailed calc'!L70</f>
        <v>7-10 y</v>
      </c>
      <c r="M6" s="10" t="str">
        <f>'IR gap and ∆NII - detailed calc'!M70</f>
        <v>not sensitive</v>
      </c>
    </row>
    <row r="7" spans="2:19" x14ac:dyDescent="0.2">
      <c r="B7" s="11">
        <f>'IR gap and ∆NII - detailed calc'!B71</f>
        <v>1</v>
      </c>
      <c r="C7" s="12" t="str">
        <f>'IR gap and ∆NII - detailed calc'!C71</f>
        <v>Loan to legal entity</v>
      </c>
      <c r="D7" s="79">
        <f>'IR gap and ∆NII - detailed calc'!D71</f>
        <v>0</v>
      </c>
      <c r="E7" s="79">
        <f>'IR gap and ∆NII - detailed calc'!E71</f>
        <v>10000</v>
      </c>
      <c r="F7" s="79">
        <f>'IR gap and ∆NII - detailed calc'!F71</f>
        <v>0</v>
      </c>
      <c r="G7" s="79">
        <f>'IR gap and ∆NII - detailed calc'!G71</f>
        <v>0</v>
      </c>
      <c r="H7" s="79">
        <f>'IR gap and ∆NII - detailed calc'!H71</f>
        <v>0</v>
      </c>
      <c r="I7" s="79">
        <f>'IR gap and ∆NII - detailed calc'!I71</f>
        <v>0</v>
      </c>
      <c r="J7" s="79">
        <f>'IR gap and ∆NII - detailed calc'!J71</f>
        <v>0</v>
      </c>
      <c r="K7" s="79">
        <f>'IR gap and ∆NII - detailed calc'!K71</f>
        <v>0</v>
      </c>
      <c r="L7" s="79">
        <f>'IR gap and ∆NII - detailed calc'!L71</f>
        <v>0</v>
      </c>
      <c r="M7" s="79">
        <f>'IR gap and ∆NII - detailed calc'!M71</f>
        <v>0</v>
      </c>
      <c r="N7" s="102"/>
    </row>
    <row r="8" spans="2:19" x14ac:dyDescent="0.2">
      <c r="B8" s="11">
        <f>'IR gap and ∆NII - detailed calc'!B72</f>
        <v>2</v>
      </c>
      <c r="C8" s="13" t="str">
        <f>'IR gap and ∆NII - detailed calc'!C72</f>
        <v>Mortgage loan to individuals</v>
      </c>
      <c r="D8" s="79">
        <f>'IR gap and ∆NII - detailed calc'!D72</f>
        <v>112.8993008635867</v>
      </c>
      <c r="E8" s="79">
        <f>'IR gap and ∆NII - detailed calc'!E72</f>
        <v>230.04996602531781</v>
      </c>
      <c r="F8" s="79">
        <f>'IR gap and ∆NII - detailed calc'!F72</f>
        <v>355.97129168887943</v>
      </c>
      <c r="G8" s="79">
        <f>'IR gap and ∆NII - detailed calc'!G72</f>
        <v>369.48777192662067</v>
      </c>
      <c r="H8" s="79">
        <f>'IR gap and ∆NII - detailed calc'!H72</f>
        <v>383.51748242276409</v>
      </c>
      <c r="I8" s="79">
        <f>'IR gap and ∆NII - detailed calc'!I72</f>
        <v>3641.5832159249794</v>
      </c>
      <c r="J8" s="79">
        <f>'IR gap and ∆NII - detailed calc'!J72</f>
        <v>4906.4909711477931</v>
      </c>
      <c r="K8" s="79">
        <f>'IR gap and ∆NII - detailed calc'!K72</f>
        <v>0</v>
      </c>
      <c r="L8" s="79">
        <f>'IR gap and ∆NII - detailed calc'!L72</f>
        <v>0</v>
      </c>
      <c r="M8" s="79">
        <f>'IR gap and ∆NII - detailed calc'!M72</f>
        <v>0</v>
      </c>
      <c r="N8" s="102"/>
    </row>
    <row r="9" spans="2:19" x14ac:dyDescent="0.2">
      <c r="B9" s="11">
        <f>'IR gap and ∆NII - detailed calc'!B73</f>
        <v>3</v>
      </c>
      <c r="C9" s="12" t="str">
        <f>'IR gap and ∆NII - detailed calc'!C73</f>
        <v>Loan to legal entity</v>
      </c>
      <c r="D9" s="79">
        <f>'IR gap and ∆NII - detailed calc'!D73</f>
        <v>50</v>
      </c>
      <c r="E9" s="79">
        <f>'IR gap and ∆NII - detailed calc'!E73</f>
        <v>100</v>
      </c>
      <c r="F9" s="79">
        <f>'IR gap and ∆NII - detailed calc'!F73</f>
        <v>150</v>
      </c>
      <c r="G9" s="79">
        <f>'IR gap and ∆NII - detailed calc'!G73</f>
        <v>150</v>
      </c>
      <c r="H9" s="79">
        <f>'IR gap and ∆NII - detailed calc'!H73</f>
        <v>150</v>
      </c>
      <c r="I9" s="79">
        <f>'IR gap and ∆NII - detailed calc'!I73</f>
        <v>1200</v>
      </c>
      <c r="J9" s="79">
        <f>'IR gap and ∆NII - detailed calc'!J73</f>
        <v>1200</v>
      </c>
      <c r="K9" s="79">
        <f>'IR gap and ∆NII - detailed calc'!K73</f>
        <v>1200</v>
      </c>
      <c r="L9" s="79">
        <f>'IR gap and ∆NII - detailed calc'!L73</f>
        <v>1800</v>
      </c>
      <c r="M9" s="79">
        <f>'IR gap and ∆NII - detailed calc'!M73</f>
        <v>0</v>
      </c>
      <c r="N9" s="102"/>
    </row>
    <row r="10" spans="2:19" x14ac:dyDescent="0.2">
      <c r="B10" s="11">
        <f>'IR gap and ∆NII - detailed calc'!B74</f>
        <v>4</v>
      </c>
      <c r="C10" s="13" t="str">
        <f>'IR gap and ∆NII - detailed calc'!C74</f>
        <v>Investments in associates</v>
      </c>
      <c r="D10" s="79">
        <f>'IR gap and ∆NII - detailed calc'!D74</f>
        <v>0</v>
      </c>
      <c r="E10" s="79">
        <f>'IR gap and ∆NII - detailed calc'!E74</f>
        <v>0</v>
      </c>
      <c r="F10" s="79">
        <f>'IR gap and ∆NII - detailed calc'!F74</f>
        <v>0</v>
      </c>
      <c r="G10" s="79">
        <f>'IR gap and ∆NII - detailed calc'!G74</f>
        <v>0</v>
      </c>
      <c r="H10" s="79">
        <f>'IR gap and ∆NII - detailed calc'!H74</f>
        <v>0</v>
      </c>
      <c r="I10" s="79">
        <f>'IR gap and ∆NII - detailed calc'!I74</f>
        <v>0</v>
      </c>
      <c r="J10" s="79">
        <f>'IR gap and ∆NII - detailed calc'!J74</f>
        <v>0</v>
      </c>
      <c r="K10" s="79">
        <f>'IR gap and ∆NII - detailed calc'!K74</f>
        <v>0</v>
      </c>
      <c r="L10" s="79">
        <f>'IR gap and ∆NII - detailed calc'!L74</f>
        <v>0</v>
      </c>
      <c r="M10" s="79">
        <f>'IR gap and ∆NII - detailed calc'!M74</f>
        <v>10000</v>
      </c>
      <c r="N10" s="102"/>
    </row>
    <row r="11" spans="2:19" x14ac:dyDescent="0.2">
      <c r="B11" s="11">
        <f>'IR gap and ∆NII - detailed calc'!B75</f>
        <v>5</v>
      </c>
      <c r="C11" s="13" t="str">
        <f>'IR gap and ∆NII - detailed calc'!C75</f>
        <v>Deposit to legal entity</v>
      </c>
      <c r="D11" s="79">
        <f>'IR gap and ∆NII - detailed calc'!D75</f>
        <v>0</v>
      </c>
      <c r="E11" s="79">
        <f>'IR gap and ∆NII - detailed calc'!E75</f>
        <v>-15000</v>
      </c>
      <c r="F11" s="79">
        <f>'IR gap and ∆NII - detailed calc'!F75</f>
        <v>0</v>
      </c>
      <c r="G11" s="79">
        <f>'IR gap and ∆NII - detailed calc'!G75</f>
        <v>0</v>
      </c>
      <c r="H11" s="79">
        <f>'IR gap and ∆NII - detailed calc'!H75</f>
        <v>0</v>
      </c>
      <c r="I11" s="79">
        <f>'IR gap and ∆NII - detailed calc'!I75</f>
        <v>0</v>
      </c>
      <c r="J11" s="79">
        <f>'IR gap and ∆NII - detailed calc'!J75</f>
        <v>0</v>
      </c>
      <c r="K11" s="79">
        <f>'IR gap and ∆NII - detailed calc'!K75</f>
        <v>0</v>
      </c>
      <c r="L11" s="79">
        <f>'IR gap and ∆NII - detailed calc'!L75</f>
        <v>0</v>
      </c>
      <c r="M11" s="79">
        <f>'IR gap and ∆NII - detailed calc'!M75</f>
        <v>0</v>
      </c>
      <c r="N11" s="102"/>
    </row>
    <row r="12" spans="2:19" ht="30.6" x14ac:dyDescent="0.2">
      <c r="B12" s="11">
        <f>'IR gap and ∆NII - detailed calc'!B76</f>
        <v>6</v>
      </c>
      <c r="C12" s="12" t="str">
        <f>'IR gap and ∆NII - detailed calc'!C76</f>
        <v>Current accounts of legal entities without irreducable balance</v>
      </c>
      <c r="D12" s="79">
        <f>'IR gap and ∆NII - detailed calc'!D76</f>
        <v>0</v>
      </c>
      <c r="E12" s="79">
        <f>'IR gap and ∆NII - detailed calc'!E76</f>
        <v>0</v>
      </c>
      <c r="F12" s="79">
        <f>'IR gap and ∆NII - detailed calc'!F76</f>
        <v>0</v>
      </c>
      <c r="G12" s="79">
        <f>'IR gap and ∆NII - detailed calc'!G76</f>
        <v>0</v>
      </c>
      <c r="H12" s="79">
        <f>'IR gap and ∆NII - detailed calc'!H76</f>
        <v>0</v>
      </c>
      <c r="I12" s="79">
        <f>'IR gap and ∆NII - detailed calc'!I76</f>
        <v>0</v>
      </c>
      <c r="J12" s="79">
        <f>'IR gap and ∆NII - detailed calc'!J76</f>
        <v>0</v>
      </c>
      <c r="K12" s="79">
        <f>'IR gap and ∆NII - detailed calc'!K76</f>
        <v>0</v>
      </c>
      <c r="L12" s="79">
        <f>'IR gap and ∆NII - detailed calc'!L76</f>
        <v>0</v>
      </c>
      <c r="M12" s="79">
        <f>'IR gap and ∆NII - detailed calc'!M76</f>
        <v>-5000</v>
      </c>
      <c r="N12" s="102"/>
    </row>
    <row r="13" spans="2:19" x14ac:dyDescent="0.2">
      <c r="B13" s="11">
        <f>'IR gap and ∆NII - detailed calc'!B77</f>
        <v>7</v>
      </c>
      <c r="C13" s="12" t="str">
        <f>'IR gap and ∆NII - detailed calc'!C77</f>
        <v>Current accounts of individuals</v>
      </c>
      <c r="D13" s="79">
        <f>'IR gap and ∆NII - detailed calc'!D77</f>
        <v>0</v>
      </c>
      <c r="E13" s="79">
        <f>'IR gap and ∆NII - detailed calc'!E77</f>
        <v>0</v>
      </c>
      <c r="F13" s="79">
        <f>'IR gap and ∆NII - detailed calc'!F77</f>
        <v>0</v>
      </c>
      <c r="G13" s="79">
        <f>'IR gap and ∆NII - detailed calc'!G77</f>
        <v>0</v>
      </c>
      <c r="H13" s="79">
        <f>'IR gap and ∆NII - detailed calc'!H77</f>
        <v>0</v>
      </c>
      <c r="I13" s="79">
        <f>'IR gap and ∆NII - detailed calc'!I77</f>
        <v>0</v>
      </c>
      <c r="J13" s="79">
        <f>'IR gap and ∆NII - detailed calc'!J77</f>
        <v>0</v>
      </c>
      <c r="K13" s="79">
        <f>'IR gap and ∆NII - detailed calc'!K77</f>
        <v>0</v>
      </c>
      <c r="L13" s="79">
        <f>'IR gap and ∆NII - detailed calc'!L77</f>
        <v>0</v>
      </c>
      <c r="M13" s="79">
        <f>'IR gap and ∆NII - detailed calc'!M77</f>
        <v>-6000</v>
      </c>
      <c r="N13" s="102"/>
    </row>
    <row r="14" spans="2:19" x14ac:dyDescent="0.2">
      <c r="B14" s="11">
        <f>'IR gap and ∆NII - detailed calc'!B78</f>
        <v>8</v>
      </c>
      <c r="C14" s="14" t="str">
        <f>'IR gap and ∆NII - detailed calc'!C78</f>
        <v>Debt securities issued</v>
      </c>
      <c r="D14" s="79">
        <f>'IR gap and ∆NII - detailed calc'!D78</f>
        <v>0</v>
      </c>
      <c r="E14" s="79">
        <f>'IR gap and ∆NII - detailed calc'!E78</f>
        <v>0</v>
      </c>
      <c r="F14" s="79">
        <f>'IR gap and ∆NII - detailed calc'!F78</f>
        <v>0</v>
      </c>
      <c r="G14" s="79">
        <f>'IR gap and ∆NII - detailed calc'!G78</f>
        <v>0</v>
      </c>
      <c r="H14" s="79">
        <f>'IR gap and ∆NII - detailed calc'!H78</f>
        <v>0</v>
      </c>
      <c r="I14" s="79">
        <f>'IR gap and ∆NII - detailed calc'!I78</f>
        <v>-5000</v>
      </c>
      <c r="J14" s="79">
        <f>'IR gap and ∆NII - detailed calc'!J78</f>
        <v>0</v>
      </c>
      <c r="K14" s="79">
        <f>'IR gap and ∆NII - detailed calc'!K78</f>
        <v>0</v>
      </c>
      <c r="L14" s="79">
        <f>'IR gap and ∆NII - detailed calc'!L78</f>
        <v>0</v>
      </c>
      <c r="M14" s="79">
        <f>'IR gap and ∆NII - detailed calc'!M78</f>
        <v>0</v>
      </c>
      <c r="N14" s="102"/>
    </row>
    <row r="15" spans="2:19" x14ac:dyDescent="0.2">
      <c r="B15" s="11">
        <f>'IR gap and ∆NII - detailed calc'!B79</f>
        <v>9</v>
      </c>
      <c r="C15" s="14" t="str">
        <f>'IR gap and ∆NII - detailed calc'!C79</f>
        <v>Equity</v>
      </c>
      <c r="D15" s="79">
        <f>'IR gap and ∆NII - detailed calc'!D79</f>
        <v>0</v>
      </c>
      <c r="E15" s="79">
        <f>'IR gap and ∆NII - detailed calc'!E79</f>
        <v>0</v>
      </c>
      <c r="F15" s="79">
        <f>'IR gap and ∆NII - detailed calc'!F79</f>
        <v>0</v>
      </c>
      <c r="G15" s="79">
        <f>'IR gap and ∆NII - detailed calc'!G79</f>
        <v>0</v>
      </c>
      <c r="H15" s="79">
        <f>'IR gap and ∆NII - detailed calc'!H79</f>
        <v>0</v>
      </c>
      <c r="I15" s="79">
        <f>'IR gap and ∆NII - detailed calc'!I79</f>
        <v>0</v>
      </c>
      <c r="J15" s="79">
        <f>'IR gap and ∆NII - detailed calc'!J79</f>
        <v>0</v>
      </c>
      <c r="K15" s="79">
        <f>'IR gap and ∆NII - detailed calc'!K79</f>
        <v>0</v>
      </c>
      <c r="L15" s="79">
        <f>'IR gap and ∆NII - detailed calc'!L79</f>
        <v>0</v>
      </c>
      <c r="M15" s="79">
        <f>'IR gap and ∆NII - detailed calc'!M79</f>
        <v>-5000</v>
      </c>
      <c r="N15" s="102"/>
    </row>
    <row r="16" spans="2:19" ht="10.8" thickBot="1" x14ac:dyDescent="0.25">
      <c r="B16" s="109">
        <f>'IR gap and ∆NII - detailed calc'!B80</f>
        <v>0</v>
      </c>
      <c r="C16" s="109" t="str">
        <f>'IR gap and ∆NII - detailed calc'!C80</f>
        <v>Interest rate gap</v>
      </c>
      <c r="D16" s="110">
        <f>'IR gap and ∆NII - detailed calc'!D80</f>
        <v>162.89930086358669</v>
      </c>
      <c r="E16" s="110">
        <f>'IR gap and ∆NII - detailed calc'!E80</f>
        <v>-4669.9500339746828</v>
      </c>
      <c r="F16" s="110">
        <f>'IR gap and ∆NII - detailed calc'!F80</f>
        <v>505.97129168887943</v>
      </c>
      <c r="G16" s="110">
        <f>'IR gap and ∆NII - detailed calc'!G80</f>
        <v>519.48777192662067</v>
      </c>
      <c r="H16" s="110">
        <f>'IR gap and ∆NII - detailed calc'!H80</f>
        <v>533.51748242276403</v>
      </c>
      <c r="I16" s="110">
        <f>'IR gap and ∆NII - detailed calc'!I80</f>
        <v>-158.41678407502059</v>
      </c>
      <c r="J16" s="110">
        <f>'IR gap and ∆NII - detailed calc'!J80</f>
        <v>6106.4909711477931</v>
      </c>
      <c r="K16" s="110">
        <f>'IR gap and ∆NII - detailed calc'!K80</f>
        <v>1200</v>
      </c>
      <c r="L16" s="110">
        <f>'IR gap and ∆NII - detailed calc'!L80</f>
        <v>1800</v>
      </c>
      <c r="M16" s="110">
        <f>'IR gap and ∆NII - detailed calc'!M80</f>
        <v>-6000</v>
      </c>
      <c r="N16" s="113"/>
      <c r="O16" s="114"/>
      <c r="P16" s="114"/>
      <c r="Q16" s="114"/>
      <c r="R16" s="114"/>
      <c r="S16" s="114"/>
    </row>
    <row r="17" spans="2:19" ht="10.8" thickBot="1" x14ac:dyDescent="0.25">
      <c r="B17" s="109">
        <f>'IR gap and ∆NII - detailed calc'!B81</f>
        <v>0</v>
      </c>
      <c r="C17" s="109" t="str">
        <f>'IR gap and ∆NII - detailed calc'!C81</f>
        <v>Cumulutive interest rate gap</v>
      </c>
      <c r="D17" s="110">
        <f>'IR gap and ∆NII - detailed calc'!D81</f>
        <v>162.89930086358669</v>
      </c>
      <c r="E17" s="110">
        <f>'IR gap and ∆NII - detailed calc'!E81</f>
        <v>-4507.0507331110957</v>
      </c>
      <c r="F17" s="110">
        <f>'IR gap and ∆NII - detailed calc'!F81</f>
        <v>-4001.0794414222164</v>
      </c>
      <c r="G17" s="110">
        <f>'IR gap and ∆NII - detailed calc'!G81</f>
        <v>-3481.5916694955959</v>
      </c>
      <c r="H17" s="112">
        <f>'IR gap and ∆NII - detailed calc'!H81</f>
        <v>-2948.0741870728316</v>
      </c>
      <c r="I17" s="110">
        <f>'IR gap and ∆NII - detailed calc'!I81</f>
        <v>-3106.4909711478522</v>
      </c>
      <c r="J17" s="110">
        <f>'IR gap and ∆NII - detailed calc'!J81</f>
        <v>2999.9999999999409</v>
      </c>
      <c r="K17" s="110">
        <f>'IR gap and ∆NII - detailed calc'!K81</f>
        <v>4199.9999999999409</v>
      </c>
      <c r="L17" s="110">
        <f>'IR gap and ∆NII - detailed calc'!L81</f>
        <v>5999.9999999999409</v>
      </c>
      <c r="M17" s="110">
        <f>'IR gap and ∆NII - detailed calc'!M81</f>
        <v>-5.9117155615240335E-11</v>
      </c>
      <c r="N17" s="113"/>
      <c r="O17" s="114"/>
      <c r="P17" s="114"/>
      <c r="Q17" s="114"/>
      <c r="R17" s="114"/>
      <c r="S17" s="114"/>
    </row>
    <row r="18" spans="2:19" x14ac:dyDescent="0.2">
      <c r="B18" s="114"/>
      <c r="C18" s="114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14"/>
      <c r="Q18" s="114"/>
      <c r="R18" s="114"/>
      <c r="S18" s="114"/>
    </row>
    <row r="19" spans="2:19" x14ac:dyDescent="0.2"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40" spans="2:5" x14ac:dyDescent="0.2">
      <c r="B40" s="77" t="s">
        <v>89</v>
      </c>
      <c r="C40" s="77" t="s">
        <v>90</v>
      </c>
    </row>
    <row r="42" spans="2:5" x14ac:dyDescent="0.2">
      <c r="C42" s="1" t="s">
        <v>164</v>
      </c>
    </row>
    <row r="43" spans="2:5" x14ac:dyDescent="0.2">
      <c r="C43" s="1" t="s">
        <v>100</v>
      </c>
    </row>
    <row r="44" spans="2:5" x14ac:dyDescent="0.2">
      <c r="C44" s="1" t="s">
        <v>91</v>
      </c>
      <c r="D44" s="102">
        <v>4000</v>
      </c>
      <c r="E44" s="1" t="s">
        <v>92</v>
      </c>
    </row>
    <row r="45" spans="2:5" x14ac:dyDescent="0.2">
      <c r="C45" s="1" t="s">
        <v>95</v>
      </c>
      <c r="D45" s="1" t="s">
        <v>13</v>
      </c>
    </row>
    <row r="46" spans="2:5" x14ac:dyDescent="0.2">
      <c r="C46" s="1" t="s">
        <v>96</v>
      </c>
      <c r="D46" s="1" t="s">
        <v>97</v>
      </c>
    </row>
    <row r="48" spans="2:5" x14ac:dyDescent="0.2">
      <c r="C48" s="1" t="s">
        <v>102</v>
      </c>
    </row>
    <row r="50" spans="2:13" x14ac:dyDescent="0.2">
      <c r="C50" s="1" t="s">
        <v>103</v>
      </c>
    </row>
    <row r="52" spans="2:13" x14ac:dyDescent="0.2">
      <c r="C52" s="77" t="s">
        <v>104</v>
      </c>
    </row>
    <row r="55" spans="2:13" x14ac:dyDescent="0.2">
      <c r="B55" s="77" t="s">
        <v>93</v>
      </c>
      <c r="C55" s="77" t="s">
        <v>94</v>
      </c>
    </row>
    <row r="57" spans="2:13" x14ac:dyDescent="0.2">
      <c r="C57" s="10" t="str">
        <f>'IR gap and ∆NII - detailed calc'!C122</f>
        <v>Metric</v>
      </c>
      <c r="D57" s="10" t="s">
        <v>0</v>
      </c>
      <c r="E57" s="10" t="s">
        <v>5</v>
      </c>
      <c r="F57" s="10" t="s">
        <v>6</v>
      </c>
      <c r="G57" s="10" t="s">
        <v>7</v>
      </c>
      <c r="H57" s="10" t="s">
        <v>8</v>
      </c>
      <c r="I57" s="10" t="s">
        <v>1</v>
      </c>
      <c r="J57" s="10" t="s">
        <v>2</v>
      </c>
      <c r="K57" s="10" t="s">
        <v>3</v>
      </c>
      <c r="L57" s="10" t="s">
        <v>4</v>
      </c>
      <c r="M57" s="10" t="s">
        <v>109</v>
      </c>
    </row>
    <row r="58" spans="2:13" ht="20.399999999999999" x14ac:dyDescent="0.2">
      <c r="C58" s="12" t="str">
        <f>'IR gap and ∆NII - detailed calc'!C123</f>
        <v>Number of month from current date to end date of interval</v>
      </c>
      <c r="D58" s="79">
        <f>'IR gap and ∆NII - detailed calc'!D123</f>
        <v>1</v>
      </c>
      <c r="E58" s="79">
        <f>'IR gap and ∆NII - detailed calc'!E123</f>
        <v>3</v>
      </c>
      <c r="F58" s="79">
        <f>'IR gap and ∆NII - detailed calc'!F123</f>
        <v>6</v>
      </c>
      <c r="G58" s="79">
        <f>'IR gap and ∆NII - detailed calc'!G123</f>
        <v>9</v>
      </c>
      <c r="H58" s="79">
        <f>'IR gap and ∆NII - detailed calc'!H123</f>
        <v>12</v>
      </c>
      <c r="I58" s="79">
        <f>'annuity example'!K17</f>
        <v>36</v>
      </c>
      <c r="J58" s="79">
        <f>'annuity example'!K18</f>
        <v>60</v>
      </c>
      <c r="K58" s="79">
        <f>'annuity example'!K19</f>
        <v>84</v>
      </c>
      <c r="L58" s="79">
        <f>'annuity example'!K20</f>
        <v>120</v>
      </c>
      <c r="M58" s="79">
        <f>'annuity example'!K21</f>
        <v>0</v>
      </c>
    </row>
    <row r="59" spans="2:13" x14ac:dyDescent="0.2">
      <c r="C59" s="11" t="s">
        <v>98</v>
      </c>
      <c r="D59" s="79">
        <f>D16</f>
        <v>162.89930086358669</v>
      </c>
      <c r="E59" s="79">
        <f t="shared" ref="E59:M59" si="0">E16</f>
        <v>-4669.9500339746828</v>
      </c>
      <c r="F59" s="79">
        <f t="shared" si="0"/>
        <v>505.97129168887943</v>
      </c>
      <c r="G59" s="79">
        <f t="shared" si="0"/>
        <v>519.48777192662067</v>
      </c>
      <c r="H59" s="79">
        <f t="shared" si="0"/>
        <v>533.51748242276403</v>
      </c>
      <c r="I59" s="79">
        <f t="shared" si="0"/>
        <v>-158.41678407502059</v>
      </c>
      <c r="J59" s="79">
        <f t="shared" si="0"/>
        <v>6106.4909711477931</v>
      </c>
      <c r="K59" s="79">
        <f t="shared" si="0"/>
        <v>1200</v>
      </c>
      <c r="L59" s="79">
        <f t="shared" si="0"/>
        <v>1800</v>
      </c>
      <c r="M59" s="79">
        <f t="shared" si="0"/>
        <v>-6000</v>
      </c>
    </row>
    <row r="60" spans="2:13" x14ac:dyDescent="0.2">
      <c r="C60" s="11" t="s">
        <v>99</v>
      </c>
      <c r="D60" s="79"/>
      <c r="E60" s="79">
        <f>D44</f>
        <v>4000</v>
      </c>
      <c r="F60" s="79"/>
      <c r="G60" s="79"/>
      <c r="H60" s="79"/>
      <c r="I60" s="107"/>
      <c r="J60" s="108">
        <v>-4000</v>
      </c>
      <c r="K60" s="107"/>
      <c r="L60" s="107"/>
      <c r="M60" s="107"/>
    </row>
    <row r="61" spans="2:13" x14ac:dyDescent="0.2">
      <c r="C61" s="11"/>
      <c r="D61" s="79"/>
      <c r="E61" s="79"/>
      <c r="F61" s="79"/>
      <c r="G61" s="79"/>
      <c r="H61" s="79"/>
      <c r="I61" s="107"/>
      <c r="J61" s="107"/>
      <c r="K61" s="107"/>
      <c r="L61" s="107"/>
      <c r="M61" s="107"/>
    </row>
    <row r="62" spans="2:13" x14ac:dyDescent="0.2">
      <c r="B62" s="141" t="s">
        <v>101</v>
      </c>
      <c r="C62" s="57" t="s">
        <v>53</v>
      </c>
      <c r="D62" s="82">
        <f>SUM(D59:D60)</f>
        <v>162.89930086358669</v>
      </c>
      <c r="E62" s="82">
        <f>SUM(E59:E60)</f>
        <v>-669.95003397468281</v>
      </c>
      <c r="F62" s="82">
        <f>SUM(F59:F60)</f>
        <v>505.97129168887943</v>
      </c>
      <c r="G62" s="82">
        <f>SUM(G59:G60)</f>
        <v>519.48777192662067</v>
      </c>
      <c r="H62" s="82">
        <f>SUM(H59:H60)</f>
        <v>533.51748242276403</v>
      </c>
      <c r="I62" s="82">
        <f t="shared" ref="I62:M62" si="1">SUM(I59:I60)</f>
        <v>-158.41678407502059</v>
      </c>
      <c r="J62" s="82">
        <f t="shared" si="1"/>
        <v>2106.4909711477931</v>
      </c>
      <c r="K62" s="82">
        <f t="shared" si="1"/>
        <v>1200</v>
      </c>
      <c r="L62" s="82">
        <f t="shared" si="1"/>
        <v>1800</v>
      </c>
      <c r="M62" s="82">
        <f t="shared" si="1"/>
        <v>-6000</v>
      </c>
    </row>
    <row r="63" spans="2:13" x14ac:dyDescent="0.2">
      <c r="B63" s="141" t="s">
        <v>101</v>
      </c>
      <c r="C63" s="57" t="s">
        <v>54</v>
      </c>
      <c r="D63" s="82">
        <f>SUM($D$62:D62)</f>
        <v>162.89930086358669</v>
      </c>
      <c r="E63" s="82">
        <f>SUM($D$62:E62)</f>
        <v>-507.05073311109612</v>
      </c>
      <c r="F63" s="82">
        <f>SUM($D$62:F62)</f>
        <v>-1.0794414222166893</v>
      </c>
      <c r="G63" s="82">
        <f>SUM($D$62:G62)</f>
        <v>518.40833050440392</v>
      </c>
      <c r="H63" s="82">
        <f>SUM($D$62:H62)</f>
        <v>1051.925812927168</v>
      </c>
      <c r="I63" s="82">
        <f>SUM($D$62:I62)</f>
        <v>893.50902885214737</v>
      </c>
      <c r="J63" s="82">
        <f>SUM($D$62:J62)</f>
        <v>2999.9999999999404</v>
      </c>
      <c r="K63" s="82">
        <f>SUM($D$62:K62)</f>
        <v>4199.99999999994</v>
      </c>
      <c r="L63" s="82">
        <f>SUM($D$62:L62)</f>
        <v>5999.99999999994</v>
      </c>
      <c r="M63" s="82">
        <f>SUM($D$62:M62)</f>
        <v>-6.0026650317013264E-11</v>
      </c>
    </row>
    <row r="64" spans="2:13" x14ac:dyDescent="0.2">
      <c r="C64" s="11"/>
      <c r="D64" s="79"/>
      <c r="E64" s="79"/>
      <c r="F64" s="79"/>
      <c r="G64" s="79"/>
      <c r="H64" s="79"/>
      <c r="I64" s="107"/>
      <c r="J64" s="107"/>
      <c r="K64" s="107"/>
      <c r="L64" s="107"/>
      <c r="M64" s="107"/>
    </row>
    <row r="65" spans="3:13" ht="51" x14ac:dyDescent="0.2">
      <c r="C65" s="56" t="str">
        <f>'IR gap and ∆NII - detailed calc'!C125</f>
        <v>average amount of month for which new rate would be applied, we make an assumption that expiration is in the middle of the range</v>
      </c>
      <c r="D65" s="81">
        <f>(D58+0)/2</f>
        <v>0.5</v>
      </c>
      <c r="E65" s="81">
        <f>(E58+D58)/2</f>
        <v>2</v>
      </c>
      <c r="F65" s="81">
        <f>(F58+E58)/2</f>
        <v>4.5</v>
      </c>
      <c r="G65" s="81">
        <f>(G58+F58)/2</f>
        <v>7.5</v>
      </c>
      <c r="H65" s="81">
        <f>(H58+G58)/2</f>
        <v>10.5</v>
      </c>
      <c r="I65" s="107"/>
      <c r="J65" s="107"/>
      <c r="K65" s="107"/>
      <c r="L65" s="107"/>
      <c r="M65" s="107"/>
    </row>
    <row r="66" spans="3:13" x14ac:dyDescent="0.2">
      <c r="C66" s="57" t="str">
        <f>'IR gap and ∆NII - detailed calc'!C126</f>
        <v>Sensitivity calc per tenor =&gt; (PL effect)</v>
      </c>
      <c r="D66" s="82">
        <f>D62*'IR gap and ∆NII - detailed calc'!$G$116*((12-D65)/12)</f>
        <v>1.5611182999427058</v>
      </c>
      <c r="E66" s="82">
        <f>E62*'IR gap and ∆NII - detailed calc'!$G$116*((12-E65)/12)</f>
        <v>-5.5829169497890243</v>
      </c>
      <c r="F66" s="82">
        <f>F62*'IR gap and ∆NII - detailed calc'!$G$116*((12-F65)/12)</f>
        <v>3.1623205730554966</v>
      </c>
      <c r="G66" s="82">
        <f>G62*'IR gap and ∆NII - detailed calc'!$G$116*((12-G65)/12)</f>
        <v>1.9480791447248276</v>
      </c>
      <c r="H66" s="82">
        <f>H62*'IR gap and ∆NII - detailed calc'!$G$116*((12-H65)/12)</f>
        <v>0.66689685302845503</v>
      </c>
      <c r="I66" s="107"/>
      <c r="J66" s="107"/>
      <c r="K66" s="107"/>
      <c r="L66" s="107"/>
      <c r="M66" s="107"/>
    </row>
    <row r="67" spans="3:13" ht="10.8" thickBot="1" x14ac:dyDescent="0.25">
      <c r="C67" s="103"/>
      <c r="D67" s="104"/>
    </row>
    <row r="68" spans="3:13" ht="10.8" thickBot="1" x14ac:dyDescent="0.25">
      <c r="C68" s="76" t="s">
        <v>63</v>
      </c>
      <c r="D68" s="105">
        <f>SUM(D66:H66)</f>
        <v>1.7554979209624606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9940-7B09-4C14-A739-693F7598DD2A}">
  <dimension ref="A2:K72"/>
  <sheetViews>
    <sheetView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RowHeight="10.199999999999999" x14ac:dyDescent="0.2"/>
  <cols>
    <col min="1" max="1" width="11.33203125" style="1" bestFit="1" customWidth="1"/>
    <col min="2" max="2" width="13" style="1" customWidth="1"/>
    <col min="3" max="3" width="13.5546875" style="1" customWidth="1"/>
    <col min="4" max="6" width="12.44140625" style="1" customWidth="1"/>
    <col min="7" max="8" width="8.88671875" style="1"/>
    <col min="9" max="9" width="9.44140625" style="1" bestFit="1" customWidth="1"/>
    <col min="10" max="16384" width="8.88671875" style="1"/>
  </cols>
  <sheetData>
    <row r="2" spans="1:11" x14ac:dyDescent="0.2">
      <c r="B2" s="1" t="s">
        <v>21</v>
      </c>
      <c r="C2" s="1">
        <v>10000</v>
      </c>
    </row>
    <row r="3" spans="1:11" x14ac:dyDescent="0.2">
      <c r="B3" s="1" t="s">
        <v>15</v>
      </c>
      <c r="C3" s="2">
        <v>0.15</v>
      </c>
    </row>
    <row r="4" spans="1:11" x14ac:dyDescent="0.2">
      <c r="B4" s="1" t="s">
        <v>22</v>
      </c>
      <c r="C4" s="1">
        <v>5</v>
      </c>
      <c r="D4" s="1" t="s">
        <v>23</v>
      </c>
    </row>
    <row r="5" spans="1:11" x14ac:dyDescent="0.2">
      <c r="B5" s="1" t="s">
        <v>24</v>
      </c>
      <c r="C5" s="1">
        <v>12</v>
      </c>
      <c r="D5" s="1" t="s">
        <v>25</v>
      </c>
    </row>
    <row r="7" spans="1:11" x14ac:dyDescent="0.2">
      <c r="B7" s="1" t="s">
        <v>31</v>
      </c>
      <c r="C7" s="6">
        <f>(1+C3/12)-1</f>
        <v>1.2499999999999956E-2</v>
      </c>
    </row>
    <row r="8" spans="1:11" x14ac:dyDescent="0.2">
      <c r="B8" s="1" t="s">
        <v>29</v>
      </c>
      <c r="C8" s="4">
        <f>(C7*(1+C7)^(C4*C5))/((1+C7)^(C4*C5)-1)</f>
        <v>2.3789930086358668E-2</v>
      </c>
    </row>
    <row r="9" spans="1:11" x14ac:dyDescent="0.2">
      <c r="B9" s="1" t="s">
        <v>28</v>
      </c>
      <c r="C9" s="4">
        <f>C2*C8</f>
        <v>237.89930086358669</v>
      </c>
    </row>
    <row r="11" spans="1:11" s="9" customFormat="1" ht="20.399999999999999" x14ac:dyDescent="0.3">
      <c r="C11" s="15" t="s">
        <v>28</v>
      </c>
      <c r="D11" s="15" t="s">
        <v>27</v>
      </c>
      <c r="E11" s="15" t="s">
        <v>45</v>
      </c>
      <c r="F11" s="15" t="s">
        <v>26</v>
      </c>
      <c r="I11" s="15" t="s">
        <v>45</v>
      </c>
    </row>
    <row r="12" spans="1:11" x14ac:dyDescent="0.2">
      <c r="A12" s="1" t="s">
        <v>30</v>
      </c>
      <c r="B12" s="3">
        <v>43101</v>
      </c>
      <c r="C12" s="5"/>
      <c r="F12" s="1">
        <f>C2</f>
        <v>10000</v>
      </c>
      <c r="H12" s="10" t="s">
        <v>0</v>
      </c>
      <c r="I12" s="5">
        <f>SUMIFS(E:E,A:A,H12)</f>
        <v>112.8993008635867</v>
      </c>
      <c r="J12" s="1">
        <f>COUNTIFS(A:A,H12)</f>
        <v>1</v>
      </c>
      <c r="K12" s="1">
        <f>SUM($J$12:J12)</f>
        <v>1</v>
      </c>
    </row>
    <row r="13" spans="1:11" x14ac:dyDescent="0.2">
      <c r="A13" s="3" t="s">
        <v>0</v>
      </c>
      <c r="B13" s="3">
        <f>EOMONTH(B12,0)+1</f>
        <v>43132</v>
      </c>
      <c r="C13" s="5">
        <f>$C$9</f>
        <v>237.89930086358669</v>
      </c>
      <c r="D13" s="5">
        <f>1/12*($C$3)*F12</f>
        <v>124.99999999999999</v>
      </c>
      <c r="E13" s="5">
        <f>C13-D13</f>
        <v>112.8993008635867</v>
      </c>
      <c r="F13" s="5">
        <f>F12-E13</f>
        <v>9887.1006991364138</v>
      </c>
      <c r="H13" s="10" t="s">
        <v>5</v>
      </c>
      <c r="I13" s="5">
        <f t="shared" ref="I13:I18" si="0">SUMIFS(E:E,A:A,H13)</f>
        <v>230.04996602531781</v>
      </c>
      <c r="J13" s="1">
        <f t="shared" ref="J13:J18" si="1">COUNTIFS(A:A,H13)</f>
        <v>2</v>
      </c>
      <c r="K13" s="1">
        <f>SUM($J$12:J13)</f>
        <v>3</v>
      </c>
    </row>
    <row r="14" spans="1:11" x14ac:dyDescent="0.2">
      <c r="A14" s="3" t="s">
        <v>5</v>
      </c>
      <c r="B14" s="3">
        <f t="shared" ref="B14:B72" si="2">EOMONTH(B13,0)+1</f>
        <v>43160</v>
      </c>
      <c r="C14" s="5">
        <f t="shared" ref="C14:C72" si="3">$C$9</f>
        <v>237.89930086358669</v>
      </c>
      <c r="D14" s="5">
        <f t="shared" ref="D14:D48" si="4">1/12*($C$3)*F13</f>
        <v>123.58875873920516</v>
      </c>
      <c r="E14" s="5">
        <f t="shared" ref="E14:E72" si="5">C14-D14</f>
        <v>114.31054212438153</v>
      </c>
      <c r="F14" s="5">
        <f t="shared" ref="F14:F72" si="6">F13-E14</f>
        <v>9772.7901570120321</v>
      </c>
      <c r="H14" s="10" t="s">
        <v>6</v>
      </c>
      <c r="I14" s="5">
        <f t="shared" si="0"/>
        <v>355.97129168887943</v>
      </c>
      <c r="J14" s="1">
        <f t="shared" si="1"/>
        <v>3</v>
      </c>
      <c r="K14" s="1">
        <f>SUM($J$12:J14)</f>
        <v>6</v>
      </c>
    </row>
    <row r="15" spans="1:11" x14ac:dyDescent="0.2">
      <c r="A15" s="3" t="s">
        <v>5</v>
      </c>
      <c r="B15" s="3">
        <f t="shared" si="2"/>
        <v>43191</v>
      </c>
      <c r="C15" s="5">
        <f t="shared" si="3"/>
        <v>237.89930086358669</v>
      </c>
      <c r="D15" s="5">
        <f t="shared" si="4"/>
        <v>122.15987696265039</v>
      </c>
      <c r="E15" s="5">
        <f t="shared" si="5"/>
        <v>115.7394239009363</v>
      </c>
      <c r="F15" s="5">
        <f t="shared" si="6"/>
        <v>9657.0507331110966</v>
      </c>
      <c r="H15" s="10" t="s">
        <v>7</v>
      </c>
      <c r="I15" s="5">
        <f t="shared" si="0"/>
        <v>369.48777192662067</v>
      </c>
      <c r="J15" s="1">
        <f t="shared" si="1"/>
        <v>3</v>
      </c>
      <c r="K15" s="1">
        <f>SUM($J$12:J15)</f>
        <v>9</v>
      </c>
    </row>
    <row r="16" spans="1:11" x14ac:dyDescent="0.2">
      <c r="A16" s="3" t="s">
        <v>6</v>
      </c>
      <c r="B16" s="3">
        <f t="shared" si="2"/>
        <v>43221</v>
      </c>
      <c r="C16" s="5">
        <f t="shared" si="3"/>
        <v>237.89930086358669</v>
      </c>
      <c r="D16" s="5">
        <f t="shared" si="4"/>
        <v>120.7131341638887</v>
      </c>
      <c r="E16" s="5">
        <f t="shared" si="5"/>
        <v>117.18616669969799</v>
      </c>
      <c r="F16" s="5">
        <f t="shared" si="6"/>
        <v>9539.8645664113992</v>
      </c>
      <c r="H16" s="10" t="s">
        <v>8</v>
      </c>
      <c r="I16" s="5">
        <f t="shared" si="0"/>
        <v>383.51748242276409</v>
      </c>
      <c r="J16" s="1">
        <f t="shared" si="1"/>
        <v>3</v>
      </c>
      <c r="K16" s="1">
        <f>SUM($J$12:J16)</f>
        <v>12</v>
      </c>
    </row>
    <row r="17" spans="1:11" x14ac:dyDescent="0.2">
      <c r="A17" s="3" t="s">
        <v>6</v>
      </c>
      <c r="B17" s="3">
        <f t="shared" si="2"/>
        <v>43252</v>
      </c>
      <c r="C17" s="5">
        <f t="shared" si="3"/>
        <v>237.89930086358669</v>
      </c>
      <c r="D17" s="5">
        <f t="shared" si="4"/>
        <v>119.24830708014248</v>
      </c>
      <c r="E17" s="5">
        <f t="shared" si="5"/>
        <v>118.65099378344421</v>
      </c>
      <c r="F17" s="5">
        <f t="shared" si="6"/>
        <v>9421.2135726279557</v>
      </c>
      <c r="H17" s="10" t="s">
        <v>1</v>
      </c>
      <c r="I17" s="5">
        <f t="shared" si="0"/>
        <v>3641.5832159249794</v>
      </c>
      <c r="J17" s="1">
        <f t="shared" si="1"/>
        <v>24</v>
      </c>
      <c r="K17" s="1">
        <f>SUM($J$12:J17)</f>
        <v>36</v>
      </c>
    </row>
    <row r="18" spans="1:11" x14ac:dyDescent="0.2">
      <c r="A18" s="3" t="s">
        <v>6</v>
      </c>
      <c r="B18" s="3">
        <f t="shared" si="2"/>
        <v>43282</v>
      </c>
      <c r="C18" s="5">
        <f t="shared" si="3"/>
        <v>237.89930086358669</v>
      </c>
      <c r="D18" s="5">
        <f t="shared" si="4"/>
        <v>117.76516965784944</v>
      </c>
      <c r="E18" s="5">
        <f t="shared" si="5"/>
        <v>120.13413120573725</v>
      </c>
      <c r="F18" s="5">
        <f t="shared" si="6"/>
        <v>9301.0794414222182</v>
      </c>
      <c r="H18" s="10" t="s">
        <v>2</v>
      </c>
      <c r="I18" s="5">
        <f t="shared" si="0"/>
        <v>4906.4909711477931</v>
      </c>
      <c r="J18" s="1">
        <f t="shared" si="1"/>
        <v>24</v>
      </c>
      <c r="K18" s="1">
        <f>SUM($J$12:J18)</f>
        <v>60</v>
      </c>
    </row>
    <row r="19" spans="1:11" x14ac:dyDescent="0.2">
      <c r="A19" s="3" t="s">
        <v>7</v>
      </c>
      <c r="B19" s="3">
        <f t="shared" si="2"/>
        <v>43313</v>
      </c>
      <c r="C19" s="5">
        <f t="shared" si="3"/>
        <v>237.89930086358669</v>
      </c>
      <c r="D19" s="5">
        <f t="shared" si="4"/>
        <v>116.26349301777772</v>
      </c>
      <c r="E19" s="5">
        <f t="shared" si="5"/>
        <v>121.63580784580897</v>
      </c>
      <c r="F19" s="5">
        <f t="shared" si="6"/>
        <v>9179.4436335764094</v>
      </c>
      <c r="H19" s="10" t="s">
        <v>3</v>
      </c>
      <c r="J19" s="1">
        <v>24</v>
      </c>
      <c r="K19" s="1">
        <f>SUM($J$12:J19)</f>
        <v>84</v>
      </c>
    </row>
    <row r="20" spans="1:11" x14ac:dyDescent="0.2">
      <c r="A20" s="3" t="s">
        <v>7</v>
      </c>
      <c r="B20" s="3">
        <f t="shared" si="2"/>
        <v>43344</v>
      </c>
      <c r="C20" s="5">
        <f t="shared" si="3"/>
        <v>237.89930086358669</v>
      </c>
      <c r="D20" s="5">
        <f t="shared" si="4"/>
        <v>114.74304541970511</v>
      </c>
      <c r="E20" s="5">
        <f t="shared" si="5"/>
        <v>123.15625544388158</v>
      </c>
      <c r="F20" s="5">
        <f t="shared" si="6"/>
        <v>9056.287378132527</v>
      </c>
      <c r="H20" s="10" t="s">
        <v>4</v>
      </c>
      <c r="J20" s="1">
        <v>36</v>
      </c>
      <c r="K20" s="1">
        <f>SUM($J$12:J20)</f>
        <v>120</v>
      </c>
    </row>
    <row r="21" spans="1:11" ht="20.399999999999999" x14ac:dyDescent="0.2">
      <c r="A21" s="3" t="s">
        <v>7</v>
      </c>
      <c r="B21" s="3">
        <f t="shared" si="2"/>
        <v>43374</v>
      </c>
      <c r="C21" s="5">
        <f t="shared" si="3"/>
        <v>237.89930086358669</v>
      </c>
      <c r="D21" s="5">
        <f t="shared" si="4"/>
        <v>113.20359222665658</v>
      </c>
      <c r="E21" s="5">
        <f t="shared" si="5"/>
        <v>124.69570863693011</v>
      </c>
      <c r="F21" s="5">
        <f t="shared" si="6"/>
        <v>8931.5916694955977</v>
      </c>
      <c r="H21" s="10" t="s">
        <v>9</v>
      </c>
    </row>
    <row r="22" spans="1:11" x14ac:dyDescent="0.2">
      <c r="A22" s="3" t="s">
        <v>8</v>
      </c>
      <c r="B22" s="3">
        <f t="shared" si="2"/>
        <v>43405</v>
      </c>
      <c r="C22" s="5">
        <f t="shared" si="3"/>
        <v>237.89930086358669</v>
      </c>
      <c r="D22" s="5">
        <f t="shared" si="4"/>
        <v>111.64489586869496</v>
      </c>
      <c r="E22" s="5">
        <f t="shared" si="5"/>
        <v>126.25440499489173</v>
      </c>
      <c r="F22" s="5">
        <f t="shared" si="6"/>
        <v>8805.3372645007057</v>
      </c>
    </row>
    <row r="23" spans="1:11" x14ac:dyDescent="0.2">
      <c r="A23" s="3" t="s">
        <v>8</v>
      </c>
      <c r="B23" s="3">
        <f t="shared" si="2"/>
        <v>43435</v>
      </c>
      <c r="C23" s="5">
        <f t="shared" si="3"/>
        <v>237.89930086358669</v>
      </c>
      <c r="D23" s="5">
        <f t="shared" si="4"/>
        <v>110.06671580625881</v>
      </c>
      <c r="E23" s="5">
        <f t="shared" si="5"/>
        <v>127.83258505732788</v>
      </c>
      <c r="F23" s="5">
        <f t="shared" si="6"/>
        <v>8677.5046794433783</v>
      </c>
    </row>
    <row r="24" spans="1:11" x14ac:dyDescent="0.2">
      <c r="A24" s="3" t="s">
        <v>8</v>
      </c>
      <c r="B24" s="3">
        <f t="shared" si="2"/>
        <v>43466</v>
      </c>
      <c r="C24" s="5">
        <f t="shared" si="3"/>
        <v>237.89930086358669</v>
      </c>
      <c r="D24" s="5">
        <f t="shared" si="4"/>
        <v>108.46880849304222</v>
      </c>
      <c r="E24" s="5">
        <f t="shared" si="5"/>
        <v>129.43049237054447</v>
      </c>
      <c r="F24" s="5">
        <f t="shared" si="6"/>
        <v>8548.0741870728343</v>
      </c>
    </row>
    <row r="25" spans="1:11" x14ac:dyDescent="0.2">
      <c r="A25" s="3" t="s">
        <v>1</v>
      </c>
      <c r="B25" s="3">
        <f t="shared" si="2"/>
        <v>43497</v>
      </c>
      <c r="C25" s="5">
        <f t="shared" si="3"/>
        <v>237.89930086358669</v>
      </c>
      <c r="D25" s="5">
        <f t="shared" si="4"/>
        <v>106.85092733841041</v>
      </c>
      <c r="E25" s="5">
        <f t="shared" si="5"/>
        <v>131.04837352517626</v>
      </c>
      <c r="F25" s="5">
        <f t="shared" si="6"/>
        <v>8417.0258135476579</v>
      </c>
    </row>
    <row r="26" spans="1:11" x14ac:dyDescent="0.2">
      <c r="A26" s="3" t="s">
        <v>1</v>
      </c>
      <c r="B26" s="3">
        <f t="shared" si="2"/>
        <v>43525</v>
      </c>
      <c r="C26" s="5">
        <f t="shared" si="3"/>
        <v>237.89930086358669</v>
      </c>
      <c r="D26" s="5">
        <f t="shared" si="4"/>
        <v>105.21282266934571</v>
      </c>
      <c r="E26" s="5">
        <f t="shared" si="5"/>
        <v>132.68647819424098</v>
      </c>
      <c r="F26" s="5">
        <f t="shared" si="6"/>
        <v>8284.3393353534175</v>
      </c>
    </row>
    <row r="27" spans="1:11" x14ac:dyDescent="0.2">
      <c r="A27" s="3" t="s">
        <v>1</v>
      </c>
      <c r="B27" s="3">
        <f t="shared" si="2"/>
        <v>43556</v>
      </c>
      <c r="C27" s="5">
        <f t="shared" si="3"/>
        <v>237.89930086358669</v>
      </c>
      <c r="D27" s="5">
        <f t="shared" si="4"/>
        <v>103.55424169191771</v>
      </c>
      <c r="E27" s="5">
        <f t="shared" si="5"/>
        <v>134.34505917166899</v>
      </c>
      <c r="F27" s="5">
        <f t="shared" si="6"/>
        <v>8149.9942761817483</v>
      </c>
    </row>
    <row r="28" spans="1:11" x14ac:dyDescent="0.2">
      <c r="A28" s="3" t="s">
        <v>1</v>
      </c>
      <c r="B28" s="3">
        <f t="shared" si="2"/>
        <v>43586</v>
      </c>
      <c r="C28" s="5">
        <f t="shared" si="3"/>
        <v>237.89930086358669</v>
      </c>
      <c r="D28" s="5">
        <f t="shared" si="4"/>
        <v>101.87492845227185</v>
      </c>
      <c r="E28" s="5">
        <f t="shared" si="5"/>
        <v>136.02437241131486</v>
      </c>
      <c r="F28" s="5">
        <f t="shared" si="6"/>
        <v>8013.9699037704331</v>
      </c>
    </row>
    <row r="29" spans="1:11" x14ac:dyDescent="0.2">
      <c r="A29" s="3" t="s">
        <v>1</v>
      </c>
      <c r="B29" s="3">
        <f t="shared" si="2"/>
        <v>43617</v>
      </c>
      <c r="C29" s="5">
        <f t="shared" si="3"/>
        <v>237.89930086358669</v>
      </c>
      <c r="D29" s="5">
        <f t="shared" si="4"/>
        <v>100.17462379713041</v>
      </c>
      <c r="E29" s="5">
        <f t="shared" si="5"/>
        <v>137.72467706645628</v>
      </c>
      <c r="F29" s="5">
        <f t="shared" si="6"/>
        <v>7876.2452267039771</v>
      </c>
    </row>
    <row r="30" spans="1:11" x14ac:dyDescent="0.2">
      <c r="A30" s="3" t="s">
        <v>1</v>
      </c>
      <c r="B30" s="3">
        <f t="shared" si="2"/>
        <v>43647</v>
      </c>
      <c r="C30" s="5">
        <f t="shared" si="3"/>
        <v>237.89930086358669</v>
      </c>
      <c r="D30" s="5">
        <f t="shared" si="4"/>
        <v>98.453065333799699</v>
      </c>
      <c r="E30" s="5">
        <f t="shared" si="5"/>
        <v>139.44623552978697</v>
      </c>
      <c r="F30" s="5">
        <f t="shared" si="6"/>
        <v>7736.7989911741897</v>
      </c>
    </row>
    <row r="31" spans="1:11" x14ac:dyDescent="0.2">
      <c r="A31" s="3" t="s">
        <v>1</v>
      </c>
      <c r="B31" s="3">
        <f t="shared" si="2"/>
        <v>43678</v>
      </c>
      <c r="C31" s="5">
        <f t="shared" si="3"/>
        <v>237.89930086358669</v>
      </c>
      <c r="D31" s="5">
        <f t="shared" si="4"/>
        <v>96.709987389677366</v>
      </c>
      <c r="E31" s="5">
        <f t="shared" si="5"/>
        <v>141.18931347390932</v>
      </c>
      <c r="F31" s="5">
        <f t="shared" si="6"/>
        <v>7595.6096777002804</v>
      </c>
    </row>
    <row r="32" spans="1:11" x14ac:dyDescent="0.2">
      <c r="A32" s="3" t="s">
        <v>1</v>
      </c>
      <c r="B32" s="3">
        <f t="shared" si="2"/>
        <v>43709</v>
      </c>
      <c r="C32" s="5">
        <f t="shared" si="3"/>
        <v>237.89930086358669</v>
      </c>
      <c r="D32" s="5">
        <f t="shared" si="4"/>
        <v>94.945120971253502</v>
      </c>
      <c r="E32" s="5">
        <f t="shared" si="5"/>
        <v>142.95417989233317</v>
      </c>
      <c r="F32" s="5">
        <f t="shared" si="6"/>
        <v>7452.6554978079475</v>
      </c>
    </row>
    <row r="33" spans="1:6" x14ac:dyDescent="0.2">
      <c r="A33" s="3" t="s">
        <v>1</v>
      </c>
      <c r="B33" s="3">
        <f t="shared" si="2"/>
        <v>43739</v>
      </c>
      <c r="C33" s="5">
        <f t="shared" si="3"/>
        <v>237.89930086358669</v>
      </c>
      <c r="D33" s="5">
        <f t="shared" si="4"/>
        <v>93.158193722599336</v>
      </c>
      <c r="E33" s="5">
        <f t="shared" si="5"/>
        <v>144.74110714098737</v>
      </c>
      <c r="F33" s="5">
        <f t="shared" si="6"/>
        <v>7307.9143906669606</v>
      </c>
    </row>
    <row r="34" spans="1:6" x14ac:dyDescent="0.2">
      <c r="A34" s="3" t="s">
        <v>1</v>
      </c>
      <c r="B34" s="3">
        <f t="shared" si="2"/>
        <v>43770</v>
      </c>
      <c r="C34" s="5">
        <f t="shared" si="3"/>
        <v>237.89930086358669</v>
      </c>
      <c r="D34" s="5">
        <f t="shared" si="4"/>
        <v>91.348929883336993</v>
      </c>
      <c r="E34" s="5">
        <f t="shared" si="5"/>
        <v>146.55037098024968</v>
      </c>
      <c r="F34" s="5">
        <f t="shared" si="6"/>
        <v>7161.3640196867109</v>
      </c>
    </row>
    <row r="35" spans="1:6" x14ac:dyDescent="0.2">
      <c r="A35" s="3" t="s">
        <v>1</v>
      </c>
      <c r="B35" s="3">
        <f t="shared" si="2"/>
        <v>43800</v>
      </c>
      <c r="C35" s="5">
        <f t="shared" si="3"/>
        <v>237.89930086358669</v>
      </c>
      <c r="D35" s="5">
        <f t="shared" si="4"/>
        <v>89.517050246083883</v>
      </c>
      <c r="E35" s="5">
        <f t="shared" si="5"/>
        <v>148.38225061750279</v>
      </c>
      <c r="F35" s="5">
        <f t="shared" si="6"/>
        <v>7012.981769069208</v>
      </c>
    </row>
    <row r="36" spans="1:6" x14ac:dyDescent="0.2">
      <c r="A36" s="3" t="s">
        <v>1</v>
      </c>
      <c r="B36" s="3">
        <f t="shared" si="2"/>
        <v>43831</v>
      </c>
      <c r="C36" s="5">
        <f t="shared" si="3"/>
        <v>237.89930086358669</v>
      </c>
      <c r="D36" s="5">
        <f t="shared" si="4"/>
        <v>87.662272113365091</v>
      </c>
      <c r="E36" s="5">
        <f t="shared" si="5"/>
        <v>150.23702875022161</v>
      </c>
      <c r="F36" s="5">
        <f t="shared" si="6"/>
        <v>6862.7447403189863</v>
      </c>
    </row>
    <row r="37" spans="1:6" x14ac:dyDescent="0.2">
      <c r="A37" s="3" t="s">
        <v>1</v>
      </c>
      <c r="B37" s="3">
        <f t="shared" si="2"/>
        <v>43862</v>
      </c>
      <c r="C37" s="5">
        <f t="shared" si="3"/>
        <v>237.89930086358669</v>
      </c>
      <c r="D37" s="5">
        <f t="shared" si="4"/>
        <v>85.784309253987317</v>
      </c>
      <c r="E37" s="5">
        <f t="shared" si="5"/>
        <v>152.11499160959937</v>
      </c>
      <c r="F37" s="5">
        <f t="shared" si="6"/>
        <v>6710.6297487093871</v>
      </c>
    </row>
    <row r="38" spans="1:6" x14ac:dyDescent="0.2">
      <c r="A38" s="3" t="s">
        <v>1</v>
      </c>
      <c r="B38" s="3">
        <f t="shared" si="2"/>
        <v>43891</v>
      </c>
      <c r="C38" s="5">
        <f t="shared" si="3"/>
        <v>237.89930086358669</v>
      </c>
      <c r="D38" s="5">
        <f t="shared" si="4"/>
        <v>83.882871858867333</v>
      </c>
      <c r="E38" s="5">
        <f t="shared" si="5"/>
        <v>154.01642900471936</v>
      </c>
      <c r="F38" s="5">
        <f t="shared" si="6"/>
        <v>6556.6133197046674</v>
      </c>
    </row>
    <row r="39" spans="1:6" x14ac:dyDescent="0.2">
      <c r="A39" s="3" t="s">
        <v>1</v>
      </c>
      <c r="B39" s="3">
        <f t="shared" si="2"/>
        <v>43922</v>
      </c>
      <c r="C39" s="5">
        <f t="shared" si="3"/>
        <v>237.89930086358669</v>
      </c>
      <c r="D39" s="5">
        <f t="shared" si="4"/>
        <v>81.957666496308335</v>
      </c>
      <c r="E39" s="5">
        <f t="shared" si="5"/>
        <v>155.94163436727837</v>
      </c>
      <c r="F39" s="5">
        <f t="shared" si="6"/>
        <v>6400.6716853373891</v>
      </c>
    </row>
    <row r="40" spans="1:6" x14ac:dyDescent="0.2">
      <c r="A40" s="3" t="s">
        <v>1</v>
      </c>
      <c r="B40" s="3">
        <f t="shared" si="2"/>
        <v>43952</v>
      </c>
      <c r="C40" s="5">
        <f t="shared" si="3"/>
        <v>237.89930086358669</v>
      </c>
      <c r="D40" s="5">
        <f t="shared" si="4"/>
        <v>80.008396066717353</v>
      </c>
      <c r="E40" s="5">
        <f t="shared" si="5"/>
        <v>157.89090479686934</v>
      </c>
      <c r="F40" s="5">
        <f t="shared" si="6"/>
        <v>6242.78078054052</v>
      </c>
    </row>
    <row r="41" spans="1:6" x14ac:dyDescent="0.2">
      <c r="A41" s="3" t="s">
        <v>1</v>
      </c>
      <c r="B41" s="3">
        <f t="shared" si="2"/>
        <v>43983</v>
      </c>
      <c r="C41" s="5">
        <f t="shared" si="3"/>
        <v>237.89930086358669</v>
      </c>
      <c r="D41" s="5">
        <f t="shared" si="4"/>
        <v>78.0347597567565</v>
      </c>
      <c r="E41" s="5">
        <f t="shared" si="5"/>
        <v>159.86454110683019</v>
      </c>
      <c r="F41" s="5">
        <f t="shared" si="6"/>
        <v>6082.91623943369</v>
      </c>
    </row>
    <row r="42" spans="1:6" x14ac:dyDescent="0.2">
      <c r="A42" s="3" t="s">
        <v>1</v>
      </c>
      <c r="B42" s="3">
        <f t="shared" si="2"/>
        <v>44013</v>
      </c>
      <c r="C42" s="5">
        <f t="shared" si="3"/>
        <v>237.89930086358669</v>
      </c>
      <c r="D42" s="5">
        <f t="shared" si="4"/>
        <v>76.036452992921113</v>
      </c>
      <c r="E42" s="5">
        <f t="shared" si="5"/>
        <v>161.86284787066558</v>
      </c>
      <c r="F42" s="5">
        <f t="shared" si="6"/>
        <v>5921.053391563024</v>
      </c>
    </row>
    <row r="43" spans="1:6" x14ac:dyDescent="0.2">
      <c r="A43" s="3" t="s">
        <v>1</v>
      </c>
      <c r="B43" s="3">
        <f t="shared" si="2"/>
        <v>44044</v>
      </c>
      <c r="C43" s="5">
        <f t="shared" si="3"/>
        <v>237.89930086358669</v>
      </c>
      <c r="D43" s="5">
        <f t="shared" si="4"/>
        <v>74.013167394537788</v>
      </c>
      <c r="E43" s="5">
        <f t="shared" si="5"/>
        <v>163.8861334690489</v>
      </c>
      <c r="F43" s="5">
        <f t="shared" si="6"/>
        <v>5757.1672580939749</v>
      </c>
    </row>
    <row r="44" spans="1:6" x14ac:dyDescent="0.2">
      <c r="A44" s="3" t="s">
        <v>1</v>
      </c>
      <c r="B44" s="3">
        <f t="shared" si="2"/>
        <v>44075</v>
      </c>
      <c r="C44" s="5">
        <f t="shared" si="3"/>
        <v>237.89930086358669</v>
      </c>
      <c r="D44" s="5">
        <f t="shared" si="4"/>
        <v>71.964590726174677</v>
      </c>
      <c r="E44" s="5">
        <f t="shared" si="5"/>
        <v>165.93471013741203</v>
      </c>
      <c r="F44" s="5">
        <f t="shared" si="6"/>
        <v>5591.2325479565625</v>
      </c>
    </row>
    <row r="45" spans="1:6" x14ac:dyDescent="0.2">
      <c r="A45" s="3" t="s">
        <v>1</v>
      </c>
      <c r="B45" s="3">
        <f t="shared" si="2"/>
        <v>44105</v>
      </c>
      <c r="C45" s="5">
        <f t="shared" si="3"/>
        <v>237.89930086358669</v>
      </c>
      <c r="D45" s="5">
        <f t="shared" si="4"/>
        <v>69.890406849457023</v>
      </c>
      <c r="E45" s="5">
        <f t="shared" si="5"/>
        <v>168.00889401412968</v>
      </c>
      <c r="F45" s="5">
        <f t="shared" si="6"/>
        <v>5423.223653942433</v>
      </c>
    </row>
    <row r="46" spans="1:6" x14ac:dyDescent="0.2">
      <c r="A46" s="3" t="s">
        <v>1</v>
      </c>
      <c r="B46" s="3">
        <f t="shared" si="2"/>
        <v>44136</v>
      </c>
      <c r="C46" s="5">
        <f t="shared" si="3"/>
        <v>237.89930086358669</v>
      </c>
      <c r="D46" s="5">
        <f t="shared" si="4"/>
        <v>67.790295674280401</v>
      </c>
      <c r="E46" s="5">
        <f t="shared" si="5"/>
        <v>170.10900518930629</v>
      </c>
      <c r="F46" s="5">
        <f t="shared" si="6"/>
        <v>5253.1146487531269</v>
      </c>
    </row>
    <row r="47" spans="1:6" x14ac:dyDescent="0.2">
      <c r="A47" s="3" t="s">
        <v>1</v>
      </c>
      <c r="B47" s="3">
        <f t="shared" si="2"/>
        <v>44166</v>
      </c>
      <c r="C47" s="5">
        <f t="shared" si="3"/>
        <v>237.89930086358669</v>
      </c>
      <c r="D47" s="5">
        <f t="shared" si="4"/>
        <v>65.663933109414074</v>
      </c>
      <c r="E47" s="5">
        <f t="shared" si="5"/>
        <v>172.23536775417261</v>
      </c>
      <c r="F47" s="5">
        <f t="shared" si="6"/>
        <v>5080.8792809989545</v>
      </c>
    </row>
    <row r="48" spans="1:6" x14ac:dyDescent="0.2">
      <c r="A48" s="3" t="s">
        <v>1</v>
      </c>
      <c r="B48" s="3">
        <f t="shared" si="2"/>
        <v>44197</v>
      </c>
      <c r="C48" s="5">
        <f t="shared" si="3"/>
        <v>237.89930086358669</v>
      </c>
      <c r="D48" s="5">
        <f t="shared" si="4"/>
        <v>63.510991012486926</v>
      </c>
      <c r="E48" s="5">
        <f t="shared" si="5"/>
        <v>174.38830985109976</v>
      </c>
      <c r="F48" s="5">
        <f t="shared" si="6"/>
        <v>4906.4909711478549</v>
      </c>
    </row>
    <row r="49" spans="1:6" x14ac:dyDescent="0.2">
      <c r="A49" s="3" t="s">
        <v>2</v>
      </c>
      <c r="B49" s="3">
        <f t="shared" si="2"/>
        <v>44228</v>
      </c>
      <c r="C49" s="5">
        <f t="shared" si="3"/>
        <v>237.89930086358669</v>
      </c>
      <c r="D49" s="5">
        <f t="shared" ref="D49:D72" si="7">1/12*($C$3)*F48</f>
        <v>61.331137139348179</v>
      </c>
      <c r="E49" s="5">
        <f t="shared" si="5"/>
        <v>176.5681637242385</v>
      </c>
      <c r="F49" s="5">
        <f t="shared" si="6"/>
        <v>4729.9228074236162</v>
      </c>
    </row>
    <row r="50" spans="1:6" x14ac:dyDescent="0.2">
      <c r="A50" s="3" t="s">
        <v>2</v>
      </c>
      <c r="B50" s="3">
        <f t="shared" si="2"/>
        <v>44256</v>
      </c>
      <c r="C50" s="5">
        <f t="shared" si="3"/>
        <v>237.89930086358669</v>
      </c>
      <c r="D50" s="5">
        <f t="shared" si="7"/>
        <v>59.124035092795197</v>
      </c>
      <c r="E50" s="5">
        <f t="shared" si="5"/>
        <v>178.77526577079149</v>
      </c>
      <c r="F50" s="5">
        <f t="shared" si="6"/>
        <v>4551.1475416528247</v>
      </c>
    </row>
    <row r="51" spans="1:6" x14ac:dyDescent="0.2">
      <c r="A51" s="3" t="s">
        <v>2</v>
      </c>
      <c r="B51" s="3">
        <f t="shared" si="2"/>
        <v>44287</v>
      </c>
      <c r="C51" s="5">
        <f t="shared" si="3"/>
        <v>237.89930086358669</v>
      </c>
      <c r="D51" s="5">
        <f t="shared" si="7"/>
        <v>56.889344270660303</v>
      </c>
      <c r="E51" s="5">
        <f t="shared" si="5"/>
        <v>181.00995659292639</v>
      </c>
      <c r="F51" s="5">
        <f t="shared" si="6"/>
        <v>4370.1375850598979</v>
      </c>
    </row>
    <row r="52" spans="1:6" x14ac:dyDescent="0.2">
      <c r="A52" s="3" t="s">
        <v>2</v>
      </c>
      <c r="B52" s="3">
        <f t="shared" si="2"/>
        <v>44317</v>
      </c>
      <c r="C52" s="5">
        <f t="shared" si="3"/>
        <v>237.89930086358669</v>
      </c>
      <c r="D52" s="5">
        <f t="shared" si="7"/>
        <v>54.62671981324872</v>
      </c>
      <c r="E52" s="5">
        <f t="shared" si="5"/>
        <v>183.27258105033798</v>
      </c>
      <c r="F52" s="5">
        <f t="shared" si="6"/>
        <v>4186.8650040095599</v>
      </c>
    </row>
    <row r="53" spans="1:6" x14ac:dyDescent="0.2">
      <c r="A53" s="3" t="s">
        <v>2</v>
      </c>
      <c r="B53" s="3">
        <f t="shared" si="2"/>
        <v>44348</v>
      </c>
      <c r="C53" s="5">
        <f t="shared" si="3"/>
        <v>237.89930086358669</v>
      </c>
      <c r="D53" s="5">
        <f t="shared" si="7"/>
        <v>52.335812550119492</v>
      </c>
      <c r="E53" s="5">
        <f t="shared" si="5"/>
        <v>185.56348831346719</v>
      </c>
      <c r="F53" s="5">
        <f t="shared" si="6"/>
        <v>4001.3015156960928</v>
      </c>
    </row>
    <row r="54" spans="1:6" x14ac:dyDescent="0.2">
      <c r="A54" s="3" t="s">
        <v>2</v>
      </c>
      <c r="B54" s="3">
        <f t="shared" si="2"/>
        <v>44378</v>
      </c>
      <c r="C54" s="5">
        <f t="shared" si="3"/>
        <v>237.89930086358669</v>
      </c>
      <c r="D54" s="5">
        <f t="shared" si="7"/>
        <v>50.016268946201158</v>
      </c>
      <c r="E54" s="5">
        <f t="shared" si="5"/>
        <v>187.88303191738552</v>
      </c>
      <c r="F54" s="5">
        <f t="shared" si="6"/>
        <v>3813.4184837787075</v>
      </c>
    </row>
    <row r="55" spans="1:6" x14ac:dyDescent="0.2">
      <c r="A55" s="3" t="s">
        <v>2</v>
      </c>
      <c r="B55" s="3">
        <f t="shared" si="2"/>
        <v>44409</v>
      </c>
      <c r="C55" s="5">
        <f t="shared" si="3"/>
        <v>237.89930086358669</v>
      </c>
      <c r="D55" s="5">
        <f t="shared" si="7"/>
        <v>47.667731047233836</v>
      </c>
      <c r="E55" s="5">
        <f t="shared" si="5"/>
        <v>190.23156981635285</v>
      </c>
      <c r="F55" s="5">
        <f t="shared" si="6"/>
        <v>3623.1869139623545</v>
      </c>
    </row>
    <row r="56" spans="1:6" x14ac:dyDescent="0.2">
      <c r="A56" s="3" t="s">
        <v>2</v>
      </c>
      <c r="B56" s="3">
        <f t="shared" si="2"/>
        <v>44440</v>
      </c>
      <c r="C56" s="5">
        <f t="shared" si="3"/>
        <v>237.89930086358669</v>
      </c>
      <c r="D56" s="5">
        <f t="shared" si="7"/>
        <v>45.289836424529426</v>
      </c>
      <c r="E56" s="5">
        <f t="shared" si="5"/>
        <v>192.60946443905726</v>
      </c>
      <c r="F56" s="5">
        <f t="shared" si="6"/>
        <v>3430.5774495232972</v>
      </c>
    </row>
    <row r="57" spans="1:6" x14ac:dyDescent="0.2">
      <c r="A57" s="3" t="s">
        <v>2</v>
      </c>
      <c r="B57" s="3">
        <f t="shared" si="2"/>
        <v>44470</v>
      </c>
      <c r="C57" s="5">
        <f t="shared" si="3"/>
        <v>237.89930086358669</v>
      </c>
      <c r="D57" s="5">
        <f t="shared" si="7"/>
        <v>42.882218119041212</v>
      </c>
      <c r="E57" s="5">
        <f t="shared" si="5"/>
        <v>195.01708274454546</v>
      </c>
      <c r="F57" s="5">
        <f t="shared" si="6"/>
        <v>3235.5603667787518</v>
      </c>
    </row>
    <row r="58" spans="1:6" x14ac:dyDescent="0.2">
      <c r="A58" s="3" t="s">
        <v>2</v>
      </c>
      <c r="B58" s="3">
        <f t="shared" si="2"/>
        <v>44501</v>
      </c>
      <c r="C58" s="5">
        <f t="shared" si="3"/>
        <v>237.89930086358669</v>
      </c>
      <c r="D58" s="5">
        <f t="shared" si="7"/>
        <v>40.444504584734396</v>
      </c>
      <c r="E58" s="5">
        <f t="shared" si="5"/>
        <v>197.45479627885229</v>
      </c>
      <c r="F58" s="5">
        <f t="shared" si="6"/>
        <v>3038.1055704998994</v>
      </c>
    </row>
    <row r="59" spans="1:6" x14ac:dyDescent="0.2">
      <c r="A59" s="3" t="s">
        <v>2</v>
      </c>
      <c r="B59" s="3">
        <f t="shared" si="2"/>
        <v>44531</v>
      </c>
      <c r="C59" s="5">
        <f t="shared" si="3"/>
        <v>237.89930086358669</v>
      </c>
      <c r="D59" s="5">
        <f t="shared" si="7"/>
        <v>37.976319631248742</v>
      </c>
      <c r="E59" s="5">
        <f t="shared" si="5"/>
        <v>199.92298123233795</v>
      </c>
      <c r="F59" s="5">
        <f t="shared" si="6"/>
        <v>2838.1825892675615</v>
      </c>
    </row>
    <row r="60" spans="1:6" x14ac:dyDescent="0.2">
      <c r="A60" s="3" t="s">
        <v>2</v>
      </c>
      <c r="B60" s="3">
        <f t="shared" si="2"/>
        <v>44562</v>
      </c>
      <c r="C60" s="5">
        <f t="shared" si="3"/>
        <v>237.89930086358669</v>
      </c>
      <c r="D60" s="5">
        <f t="shared" si="7"/>
        <v>35.477282365844516</v>
      </c>
      <c r="E60" s="5">
        <f t="shared" si="5"/>
        <v>202.42201849774216</v>
      </c>
      <c r="F60" s="5">
        <f t="shared" si="6"/>
        <v>2635.7605707698194</v>
      </c>
    </row>
    <row r="61" spans="1:6" x14ac:dyDescent="0.2">
      <c r="A61" s="3" t="s">
        <v>2</v>
      </c>
      <c r="B61" s="3">
        <f t="shared" si="2"/>
        <v>44593</v>
      </c>
      <c r="C61" s="5">
        <f t="shared" si="3"/>
        <v>237.89930086358669</v>
      </c>
      <c r="D61" s="5">
        <f t="shared" si="7"/>
        <v>32.947007134622737</v>
      </c>
      <c r="E61" s="5">
        <f t="shared" si="5"/>
        <v>204.95229372896395</v>
      </c>
      <c r="F61" s="5">
        <f t="shared" si="6"/>
        <v>2430.8082770408555</v>
      </c>
    </row>
    <row r="62" spans="1:6" x14ac:dyDescent="0.2">
      <c r="A62" s="3" t="s">
        <v>2</v>
      </c>
      <c r="B62" s="3">
        <f t="shared" si="2"/>
        <v>44621</v>
      </c>
      <c r="C62" s="5">
        <f t="shared" si="3"/>
        <v>237.89930086358669</v>
      </c>
      <c r="D62" s="5">
        <f t="shared" si="7"/>
        <v>30.38510346301069</v>
      </c>
      <c r="E62" s="5">
        <f t="shared" si="5"/>
        <v>207.51419740057599</v>
      </c>
      <c r="F62" s="5">
        <f t="shared" si="6"/>
        <v>2223.2940796402795</v>
      </c>
    </row>
    <row r="63" spans="1:6" x14ac:dyDescent="0.2">
      <c r="A63" s="3" t="s">
        <v>2</v>
      </c>
      <c r="B63" s="3">
        <f t="shared" si="2"/>
        <v>44652</v>
      </c>
      <c r="C63" s="5">
        <f t="shared" si="3"/>
        <v>237.89930086358669</v>
      </c>
      <c r="D63" s="5">
        <f t="shared" si="7"/>
        <v>27.79117599550349</v>
      </c>
      <c r="E63" s="5">
        <f t="shared" si="5"/>
        <v>210.10812486808319</v>
      </c>
      <c r="F63" s="5">
        <f t="shared" si="6"/>
        <v>2013.1859547721963</v>
      </c>
    </row>
    <row r="64" spans="1:6" x14ac:dyDescent="0.2">
      <c r="A64" s="3" t="s">
        <v>2</v>
      </c>
      <c r="B64" s="3">
        <f t="shared" si="2"/>
        <v>44682</v>
      </c>
      <c r="C64" s="5">
        <f t="shared" si="3"/>
        <v>237.89930086358669</v>
      </c>
      <c r="D64" s="5">
        <f t="shared" si="7"/>
        <v>25.164824434652452</v>
      </c>
      <c r="E64" s="5">
        <f t="shared" si="5"/>
        <v>212.73447642893424</v>
      </c>
      <c r="F64" s="5">
        <f t="shared" si="6"/>
        <v>1800.4514783432621</v>
      </c>
    </row>
    <row r="65" spans="1:6" x14ac:dyDescent="0.2">
      <c r="A65" s="3" t="s">
        <v>2</v>
      </c>
      <c r="B65" s="3">
        <f t="shared" si="2"/>
        <v>44713</v>
      </c>
      <c r="C65" s="5">
        <f t="shared" si="3"/>
        <v>237.89930086358669</v>
      </c>
      <c r="D65" s="5">
        <f t="shared" si="7"/>
        <v>22.505643479290775</v>
      </c>
      <c r="E65" s="5">
        <f t="shared" si="5"/>
        <v>215.39365738429592</v>
      </c>
      <c r="F65" s="5">
        <f t="shared" si="6"/>
        <v>1585.0578209589662</v>
      </c>
    </row>
    <row r="66" spans="1:6" x14ac:dyDescent="0.2">
      <c r="A66" s="3" t="s">
        <v>2</v>
      </c>
      <c r="B66" s="3">
        <f t="shared" si="2"/>
        <v>44743</v>
      </c>
      <c r="C66" s="5">
        <f t="shared" si="3"/>
        <v>237.89930086358669</v>
      </c>
      <c r="D66" s="5">
        <f t="shared" si="7"/>
        <v>19.813222761987078</v>
      </c>
      <c r="E66" s="5">
        <f t="shared" si="5"/>
        <v>218.08607810159961</v>
      </c>
      <c r="F66" s="5">
        <f t="shared" si="6"/>
        <v>1366.9717428573665</v>
      </c>
    </row>
    <row r="67" spans="1:6" x14ac:dyDescent="0.2">
      <c r="A67" s="3" t="s">
        <v>2</v>
      </c>
      <c r="B67" s="3">
        <f t="shared" si="2"/>
        <v>44774</v>
      </c>
      <c r="C67" s="5">
        <f t="shared" si="3"/>
        <v>237.89930086358669</v>
      </c>
      <c r="D67" s="5">
        <f t="shared" si="7"/>
        <v>17.087146785717081</v>
      </c>
      <c r="E67" s="5">
        <f t="shared" si="5"/>
        <v>220.81215407786959</v>
      </c>
      <c r="F67" s="5">
        <f t="shared" si="6"/>
        <v>1146.159588779497</v>
      </c>
    </row>
    <row r="68" spans="1:6" x14ac:dyDescent="0.2">
      <c r="A68" s="3" t="s">
        <v>2</v>
      </c>
      <c r="B68" s="3">
        <f t="shared" si="2"/>
        <v>44805</v>
      </c>
      <c r="C68" s="5">
        <f t="shared" si="3"/>
        <v>237.89930086358669</v>
      </c>
      <c r="D68" s="5">
        <f t="shared" si="7"/>
        <v>14.326994859743712</v>
      </c>
      <c r="E68" s="5">
        <f t="shared" si="5"/>
        <v>223.57230600384298</v>
      </c>
      <c r="F68" s="5">
        <f t="shared" si="6"/>
        <v>922.58728277565399</v>
      </c>
    </row>
    <row r="69" spans="1:6" x14ac:dyDescent="0.2">
      <c r="A69" s="3" t="s">
        <v>2</v>
      </c>
      <c r="B69" s="3">
        <f t="shared" si="2"/>
        <v>44835</v>
      </c>
      <c r="C69" s="5">
        <f t="shared" si="3"/>
        <v>237.89930086358669</v>
      </c>
      <c r="D69" s="5">
        <f t="shared" si="7"/>
        <v>11.532341034695675</v>
      </c>
      <c r="E69" s="5">
        <f t="shared" si="5"/>
        <v>226.36695982889103</v>
      </c>
      <c r="F69" s="5">
        <f t="shared" si="6"/>
        <v>696.22032294676296</v>
      </c>
    </row>
    <row r="70" spans="1:6" x14ac:dyDescent="0.2">
      <c r="A70" s="3" t="s">
        <v>2</v>
      </c>
      <c r="B70" s="3">
        <f t="shared" si="2"/>
        <v>44866</v>
      </c>
      <c r="C70" s="5">
        <f t="shared" si="3"/>
        <v>237.89930086358669</v>
      </c>
      <c r="D70" s="5">
        <f t="shared" si="7"/>
        <v>8.702754036834536</v>
      </c>
      <c r="E70" s="5">
        <f t="shared" si="5"/>
        <v>229.19654682675215</v>
      </c>
      <c r="F70" s="5">
        <f t="shared" si="6"/>
        <v>467.02377612001078</v>
      </c>
    </row>
    <row r="71" spans="1:6" x14ac:dyDescent="0.2">
      <c r="A71" s="3" t="s">
        <v>2</v>
      </c>
      <c r="B71" s="3">
        <f t="shared" si="2"/>
        <v>44896</v>
      </c>
      <c r="C71" s="5">
        <f t="shared" si="3"/>
        <v>237.89930086358669</v>
      </c>
      <c r="D71" s="5">
        <f t="shared" si="7"/>
        <v>5.837797201500134</v>
      </c>
      <c r="E71" s="5">
        <f t="shared" si="5"/>
        <v>232.06150366208655</v>
      </c>
      <c r="F71" s="5">
        <f t="shared" si="6"/>
        <v>234.96227245792423</v>
      </c>
    </row>
    <row r="72" spans="1:6" x14ac:dyDescent="0.2">
      <c r="A72" s="3" t="s">
        <v>2</v>
      </c>
      <c r="B72" s="3">
        <f t="shared" si="2"/>
        <v>44927</v>
      </c>
      <c r="C72" s="5">
        <f t="shared" si="3"/>
        <v>237.89930086358669</v>
      </c>
      <c r="D72" s="5">
        <f t="shared" si="7"/>
        <v>2.9370284057240528</v>
      </c>
      <c r="E72" s="5">
        <f t="shared" si="5"/>
        <v>234.96227245786264</v>
      </c>
      <c r="F72" s="5">
        <f t="shared" si="6"/>
        <v>6.1589844335685484E-11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7CFD-B837-443A-8439-123A46445515}">
  <dimension ref="B2:Q233"/>
  <sheetViews>
    <sheetView showGridLines="0" showRowColHeaders="0" topLeftCell="A163" zoomScaleNormal="100" workbookViewId="0">
      <selection activeCell="G178" sqref="G178"/>
    </sheetView>
  </sheetViews>
  <sheetFormatPr defaultRowHeight="10.199999999999999" x14ac:dyDescent="0.2"/>
  <cols>
    <col min="1" max="2" width="8.88671875" style="1"/>
    <col min="3" max="3" width="10" style="1" customWidth="1"/>
    <col min="4" max="4" width="8.88671875" style="1" customWidth="1"/>
    <col min="5" max="16384" width="8.88671875" style="1"/>
  </cols>
  <sheetData>
    <row r="2" spans="2:14" s="78" customFormat="1" x14ac:dyDescent="0.2">
      <c r="B2" s="78" t="s">
        <v>53</v>
      </c>
    </row>
    <row r="4" spans="2:14" ht="20.399999999999999" x14ac:dyDescent="0.2">
      <c r="B4" s="10" t="s">
        <v>11</v>
      </c>
      <c r="C4" s="10" t="s">
        <v>10</v>
      </c>
      <c r="D4" s="10" t="s">
        <v>0</v>
      </c>
      <c r="E4" s="10" t="s">
        <v>110</v>
      </c>
      <c r="F4" s="10" t="s">
        <v>111</v>
      </c>
      <c r="G4" s="10" t="s">
        <v>112</v>
      </c>
      <c r="H4" s="10" t="s">
        <v>113</v>
      </c>
      <c r="I4" s="10" t="s">
        <v>114</v>
      </c>
      <c r="J4" s="10" t="s">
        <v>115</v>
      </c>
      <c r="K4" s="10" t="s">
        <v>116</v>
      </c>
      <c r="L4" s="10" t="s">
        <v>117</v>
      </c>
      <c r="M4" s="10" t="s">
        <v>109</v>
      </c>
      <c r="N4" s="10" t="s">
        <v>43</v>
      </c>
    </row>
    <row r="5" spans="2:14" ht="20.399999999999999" x14ac:dyDescent="0.2">
      <c r="B5" s="11">
        <v>1</v>
      </c>
      <c r="C5" s="12" t="s">
        <v>12</v>
      </c>
      <c r="D5" s="79">
        <v>0</v>
      </c>
      <c r="E5" s="79">
        <v>10000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79">
        <v>0</v>
      </c>
      <c r="M5" s="79">
        <v>0</v>
      </c>
      <c r="N5" s="12"/>
    </row>
    <row r="6" spans="2:14" ht="20.399999999999999" x14ac:dyDescent="0.2">
      <c r="B6" s="11">
        <v>2</v>
      </c>
      <c r="C6" s="13" t="s">
        <v>19</v>
      </c>
      <c r="D6" s="79">
        <v>112.8993008635867</v>
      </c>
      <c r="E6" s="79">
        <v>230.04996602531781</v>
      </c>
      <c r="F6" s="79">
        <v>355.97129168887943</v>
      </c>
      <c r="G6" s="79">
        <v>369.48777192662067</v>
      </c>
      <c r="H6" s="79">
        <v>383.51748242276409</v>
      </c>
      <c r="I6" s="79">
        <v>3641.5832159249794</v>
      </c>
      <c r="J6" s="79">
        <v>4906.4909711477931</v>
      </c>
      <c r="K6" s="79">
        <v>0</v>
      </c>
      <c r="L6" s="79">
        <v>0</v>
      </c>
      <c r="M6" s="79">
        <v>0</v>
      </c>
      <c r="N6" s="12"/>
    </row>
    <row r="7" spans="2:14" ht="20.399999999999999" x14ac:dyDescent="0.2">
      <c r="B7" s="11">
        <v>3</v>
      </c>
      <c r="C7" s="12" t="s">
        <v>12</v>
      </c>
      <c r="D7" s="79">
        <v>50</v>
      </c>
      <c r="E7" s="79">
        <v>100</v>
      </c>
      <c r="F7" s="79">
        <v>150</v>
      </c>
      <c r="G7" s="79">
        <v>150</v>
      </c>
      <c r="H7" s="79">
        <v>150</v>
      </c>
      <c r="I7" s="79">
        <v>1200</v>
      </c>
      <c r="J7" s="79">
        <v>1200</v>
      </c>
      <c r="K7" s="79">
        <v>1200</v>
      </c>
      <c r="L7" s="79">
        <v>1800</v>
      </c>
      <c r="M7" s="79">
        <v>0</v>
      </c>
      <c r="N7" s="12"/>
    </row>
    <row r="8" spans="2:14" ht="20.399999999999999" x14ac:dyDescent="0.2">
      <c r="B8" s="11">
        <v>4</v>
      </c>
      <c r="C8" s="13" t="s">
        <v>34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10000</v>
      </c>
      <c r="N8" s="12"/>
    </row>
    <row r="9" spans="2:14" ht="20.399999999999999" x14ac:dyDescent="0.2">
      <c r="B9" s="11">
        <v>5</v>
      </c>
      <c r="C9" s="13" t="s">
        <v>33</v>
      </c>
      <c r="D9" s="79">
        <v>0</v>
      </c>
      <c r="E9" s="79">
        <v>-15000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12"/>
    </row>
    <row r="10" spans="2:14" ht="61.2" x14ac:dyDescent="0.2">
      <c r="B10" s="11">
        <v>6</v>
      </c>
      <c r="C10" s="12" t="s">
        <v>36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-5000</v>
      </c>
      <c r="N10" s="12"/>
    </row>
    <row r="11" spans="2:14" ht="30.6" x14ac:dyDescent="0.2">
      <c r="B11" s="11">
        <v>7</v>
      </c>
      <c r="C11" s="12" t="s">
        <v>38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-6000</v>
      </c>
      <c r="N11" s="12"/>
    </row>
    <row r="12" spans="2:14" ht="30.6" x14ac:dyDescent="0.2">
      <c r="B12" s="11">
        <v>8</v>
      </c>
      <c r="C12" s="14" t="s">
        <v>39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-5000</v>
      </c>
      <c r="J12" s="79">
        <v>0</v>
      </c>
      <c r="K12" s="79">
        <v>0</v>
      </c>
      <c r="L12" s="79">
        <v>0</v>
      </c>
      <c r="M12" s="79">
        <v>0</v>
      </c>
      <c r="N12" s="12"/>
    </row>
    <row r="13" spans="2:14" x14ac:dyDescent="0.2">
      <c r="B13" s="11">
        <v>9</v>
      </c>
      <c r="C13" s="14" t="s">
        <v>42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-5000</v>
      </c>
      <c r="N13" s="12"/>
    </row>
    <row r="14" spans="2:14" x14ac:dyDescent="0.2">
      <c r="B14" s="109"/>
      <c r="C14" s="109" t="s">
        <v>53</v>
      </c>
      <c r="D14" s="110">
        <f>SUM(D5:D13)</f>
        <v>162.89930086358669</v>
      </c>
      <c r="E14" s="110">
        <f t="shared" ref="E14:M14" si="0">SUM(E5:E13)</f>
        <v>-4669.9500339746828</v>
      </c>
      <c r="F14" s="110">
        <f t="shared" si="0"/>
        <v>505.97129168887943</v>
      </c>
      <c r="G14" s="110">
        <f t="shared" si="0"/>
        <v>519.48777192662067</v>
      </c>
      <c r="H14" s="110">
        <f t="shared" si="0"/>
        <v>533.51748242276403</v>
      </c>
      <c r="I14" s="110">
        <f t="shared" si="0"/>
        <v>-158.41678407502059</v>
      </c>
      <c r="J14" s="110">
        <f t="shared" si="0"/>
        <v>6106.4909711477931</v>
      </c>
      <c r="K14" s="110">
        <f t="shared" si="0"/>
        <v>1200</v>
      </c>
      <c r="L14" s="110">
        <f t="shared" si="0"/>
        <v>1800</v>
      </c>
      <c r="M14" s="110">
        <f t="shared" si="0"/>
        <v>-6000</v>
      </c>
      <c r="N14" s="111"/>
    </row>
    <row r="15" spans="2:14" x14ac:dyDescent="0.2">
      <c r="B15" s="109"/>
      <c r="C15" s="109" t="s">
        <v>107</v>
      </c>
      <c r="D15" s="110">
        <f>SUM(D5:D8)</f>
        <v>162.89930086358669</v>
      </c>
      <c r="E15" s="110">
        <f t="shared" ref="E15:M15" si="1">SUM(E5:E8)</f>
        <v>10330.049966025317</v>
      </c>
      <c r="F15" s="110">
        <f t="shared" si="1"/>
        <v>505.97129168887943</v>
      </c>
      <c r="G15" s="110">
        <f t="shared" si="1"/>
        <v>519.48777192662067</v>
      </c>
      <c r="H15" s="110">
        <f t="shared" si="1"/>
        <v>533.51748242276403</v>
      </c>
      <c r="I15" s="110">
        <f t="shared" si="1"/>
        <v>4841.5832159249794</v>
      </c>
      <c r="J15" s="110">
        <f t="shared" si="1"/>
        <v>6106.4909711477931</v>
      </c>
      <c r="K15" s="110">
        <f t="shared" si="1"/>
        <v>1200</v>
      </c>
      <c r="L15" s="110">
        <f t="shared" si="1"/>
        <v>1800</v>
      </c>
      <c r="M15" s="110">
        <f t="shared" si="1"/>
        <v>10000</v>
      </c>
      <c r="N15" s="111"/>
    </row>
    <row r="16" spans="2:14" x14ac:dyDescent="0.2">
      <c r="B16" s="109"/>
      <c r="C16" s="109" t="s">
        <v>108</v>
      </c>
      <c r="D16" s="110">
        <f>SUM(D9:D13)</f>
        <v>0</v>
      </c>
      <c r="E16" s="110">
        <f t="shared" ref="E16:M16" si="2">SUM(E9:E13)</f>
        <v>-15000</v>
      </c>
      <c r="F16" s="110">
        <f t="shared" si="2"/>
        <v>0</v>
      </c>
      <c r="G16" s="110">
        <f t="shared" si="2"/>
        <v>0</v>
      </c>
      <c r="H16" s="110">
        <f t="shared" si="2"/>
        <v>0</v>
      </c>
      <c r="I16" s="110">
        <f t="shared" si="2"/>
        <v>-5000</v>
      </c>
      <c r="J16" s="110">
        <f t="shared" si="2"/>
        <v>0</v>
      </c>
      <c r="K16" s="110">
        <f t="shared" si="2"/>
        <v>0</v>
      </c>
      <c r="L16" s="110">
        <f t="shared" si="2"/>
        <v>0</v>
      </c>
      <c r="M16" s="110">
        <f t="shared" si="2"/>
        <v>-16000</v>
      </c>
      <c r="N16" s="111"/>
    </row>
    <row r="17" spans="2:14" x14ac:dyDescent="0.2">
      <c r="B17" s="109"/>
      <c r="C17" s="109" t="s">
        <v>54</v>
      </c>
      <c r="D17" s="110">
        <v>162.89930086358669</v>
      </c>
      <c r="E17" s="110">
        <f>D17+E14</f>
        <v>-4507.0507331110957</v>
      </c>
      <c r="F17" s="110">
        <f t="shared" ref="F17:M17" si="3">E17+F14</f>
        <v>-4001.0794414222164</v>
      </c>
      <c r="G17" s="110">
        <f t="shared" si="3"/>
        <v>-3481.5916694955959</v>
      </c>
      <c r="H17" s="110">
        <f t="shared" si="3"/>
        <v>-2948.0741870728316</v>
      </c>
      <c r="I17" s="110">
        <f t="shared" si="3"/>
        <v>-3106.4909711478522</v>
      </c>
      <c r="J17" s="110">
        <f t="shared" si="3"/>
        <v>2999.9999999999409</v>
      </c>
      <c r="K17" s="110">
        <f t="shared" si="3"/>
        <v>4199.9999999999409</v>
      </c>
      <c r="L17" s="110">
        <f t="shared" si="3"/>
        <v>5999.9999999999409</v>
      </c>
      <c r="M17" s="110">
        <f t="shared" si="3"/>
        <v>-5.9117155615240335E-11</v>
      </c>
      <c r="N17" s="111"/>
    </row>
    <row r="18" spans="2:14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2:14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2:14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2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2:14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2:14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2:14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2:14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2:14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2:14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</row>
    <row r="28" spans="2:14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2:14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2:14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</row>
    <row r="31" spans="2:14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2:1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</row>
    <row r="33" spans="2:14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</row>
    <row r="34" spans="2:14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</row>
    <row r="35" spans="2:14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</row>
    <row r="36" spans="2:14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</row>
    <row r="37" spans="2:14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</row>
    <row r="38" spans="2:14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</row>
    <row r="39" spans="2:14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</row>
    <row r="40" spans="2:14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</row>
    <row r="41" spans="2:14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2:14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2:14" s="78" customFormat="1" x14ac:dyDescent="0.2">
      <c r="B43" s="26" t="s">
        <v>118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/>
    </row>
    <row r="45" spans="2:14" ht="30.6" x14ac:dyDescent="0.2">
      <c r="C45" s="107"/>
      <c r="D45" s="146" t="s">
        <v>119</v>
      </c>
      <c r="E45" s="146" t="s">
        <v>120</v>
      </c>
    </row>
    <row r="46" spans="2:14" x14ac:dyDescent="0.2">
      <c r="C46" s="10" t="s">
        <v>0</v>
      </c>
      <c r="D46" s="147">
        <v>5.1999999999999998E-2</v>
      </c>
      <c r="E46" s="147">
        <v>6.0299999999999999E-2</v>
      </c>
    </row>
    <row r="47" spans="2:14" x14ac:dyDescent="0.2">
      <c r="C47" s="10" t="s">
        <v>110</v>
      </c>
      <c r="D47" s="147">
        <v>5.3499999999999999E-2</v>
      </c>
      <c r="E47" s="147">
        <v>6.1100000000000002E-2</v>
      </c>
    </row>
    <row r="48" spans="2:14" x14ac:dyDescent="0.2">
      <c r="C48" s="10" t="s">
        <v>111</v>
      </c>
      <c r="D48" s="147">
        <v>5.5E-2</v>
      </c>
      <c r="E48" s="147">
        <v>6.1900000000000004E-2</v>
      </c>
    </row>
    <row r="49" spans="3:5" x14ac:dyDescent="0.2">
      <c r="C49" s="10" t="s">
        <v>112</v>
      </c>
      <c r="D49" s="148">
        <v>5.5899999999999998E-2</v>
      </c>
      <c r="E49" s="147">
        <v>6.2100000000000002E-2</v>
      </c>
    </row>
    <row r="50" spans="3:5" x14ac:dyDescent="0.2">
      <c r="C50" s="10" t="s">
        <v>113</v>
      </c>
      <c r="D50" s="147">
        <v>5.6500000000000002E-2</v>
      </c>
      <c r="E50" s="147">
        <v>6.2E-2</v>
      </c>
    </row>
    <row r="51" spans="3:5" x14ac:dyDescent="0.2">
      <c r="C51" s="10" t="s">
        <v>114</v>
      </c>
      <c r="D51" s="147">
        <v>5.8999999999999997E-2</v>
      </c>
      <c r="E51" s="147">
        <v>6.3800000000000009E-2</v>
      </c>
    </row>
    <row r="52" spans="3:5" x14ac:dyDescent="0.2">
      <c r="C52" s="10" t="s">
        <v>115</v>
      </c>
      <c r="D52" s="147">
        <v>6.1499999999999999E-2</v>
      </c>
      <c r="E52" s="147">
        <v>6.5600000000000006E-2</v>
      </c>
    </row>
    <row r="53" spans="3:5" x14ac:dyDescent="0.2">
      <c r="C53" s="10" t="s">
        <v>116</v>
      </c>
      <c r="D53" s="147">
        <v>6.4000000000000001E-2</v>
      </c>
      <c r="E53" s="147">
        <v>6.7400000000000015E-2</v>
      </c>
    </row>
    <row r="54" spans="3:5" x14ac:dyDescent="0.2">
      <c r="C54" s="10" t="s">
        <v>117</v>
      </c>
      <c r="D54" s="147">
        <v>6.9000000000000006E-2</v>
      </c>
      <c r="E54" s="147">
        <v>7.1700000000000014E-2</v>
      </c>
    </row>
    <row r="58" spans="3:5" x14ac:dyDescent="0.2">
      <c r="D58" s="1" t="s">
        <v>145</v>
      </c>
      <c r="E58" s="1" t="s">
        <v>146</v>
      </c>
    </row>
    <row r="59" spans="3:5" x14ac:dyDescent="0.2">
      <c r="C59" s="1">
        <v>1</v>
      </c>
      <c r="D59" s="198">
        <v>0.06</v>
      </c>
      <c r="E59" s="198">
        <v>0.03</v>
      </c>
    </row>
    <row r="60" spans="3:5" x14ac:dyDescent="0.2">
      <c r="C60" s="1">
        <v>2</v>
      </c>
      <c r="D60" s="198">
        <v>0.06</v>
      </c>
      <c r="E60" s="198">
        <v>0.03</v>
      </c>
    </row>
    <row r="61" spans="3:5" x14ac:dyDescent="0.2">
      <c r="C61" s="1">
        <v>3</v>
      </c>
      <c r="D61" s="198">
        <f>(D60+0.3%)</f>
        <v>6.3E-2</v>
      </c>
      <c r="E61" s="198">
        <f>(E60+1.2%)</f>
        <v>4.1999999999999996E-2</v>
      </c>
    </row>
    <row r="62" spans="3:5" x14ac:dyDescent="0.2">
      <c r="C62" s="1">
        <v>4</v>
      </c>
      <c r="D62" s="198">
        <f t="shared" ref="D62:D68" si="4">(D61+0.3%)</f>
        <v>6.6000000000000003E-2</v>
      </c>
      <c r="E62" s="198">
        <f t="shared" ref="E62:E64" si="5">(E61+1.2%)</f>
        <v>5.3999999999999992E-2</v>
      </c>
    </row>
    <row r="63" spans="3:5" x14ac:dyDescent="0.2">
      <c r="C63" s="1">
        <v>5</v>
      </c>
      <c r="D63" s="198">
        <f t="shared" si="4"/>
        <v>6.9000000000000006E-2</v>
      </c>
      <c r="E63" s="198">
        <f t="shared" si="5"/>
        <v>6.5999999999999989E-2</v>
      </c>
    </row>
    <row r="64" spans="3:5" x14ac:dyDescent="0.2">
      <c r="C64" s="1">
        <v>6</v>
      </c>
      <c r="D64" s="198">
        <f t="shared" si="4"/>
        <v>7.2000000000000008E-2</v>
      </c>
      <c r="E64" s="198">
        <f t="shared" si="5"/>
        <v>7.7999999999999986E-2</v>
      </c>
    </row>
    <row r="65" spans="3:5" x14ac:dyDescent="0.2">
      <c r="C65" s="1">
        <v>7</v>
      </c>
      <c r="D65" s="198">
        <f t="shared" si="4"/>
        <v>7.5000000000000011E-2</v>
      </c>
      <c r="E65" s="198">
        <f>E64</f>
        <v>7.7999999999999986E-2</v>
      </c>
    </row>
    <row r="66" spans="3:5" x14ac:dyDescent="0.2">
      <c r="C66" s="1">
        <v>8</v>
      </c>
      <c r="D66" s="198">
        <f t="shared" si="4"/>
        <v>7.8000000000000014E-2</v>
      </c>
      <c r="E66" s="198">
        <f t="shared" ref="E66:E68" si="6">E65</f>
        <v>7.7999999999999986E-2</v>
      </c>
    </row>
    <row r="67" spans="3:5" x14ac:dyDescent="0.2">
      <c r="C67" s="1">
        <v>9</v>
      </c>
      <c r="D67" s="198">
        <f t="shared" si="4"/>
        <v>8.1000000000000016E-2</v>
      </c>
      <c r="E67" s="198">
        <f t="shared" si="6"/>
        <v>7.7999999999999986E-2</v>
      </c>
    </row>
    <row r="68" spans="3:5" x14ac:dyDescent="0.2">
      <c r="C68" s="1">
        <v>10</v>
      </c>
      <c r="D68" s="198">
        <f t="shared" si="4"/>
        <v>8.4000000000000019E-2</v>
      </c>
      <c r="E68" s="198">
        <f t="shared" si="6"/>
        <v>7.7999999999999986E-2</v>
      </c>
    </row>
    <row r="81" spans="2:17" s="199" customFormat="1" x14ac:dyDescent="0.2">
      <c r="B81" s="78" t="s">
        <v>147</v>
      </c>
    </row>
    <row r="83" spans="2:17" x14ac:dyDescent="0.2">
      <c r="E83" s="238" t="s">
        <v>163</v>
      </c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40"/>
    </row>
    <row r="84" spans="2:17" x14ac:dyDescent="0.2">
      <c r="D84" s="149"/>
      <c r="E84" s="200" t="s">
        <v>148</v>
      </c>
      <c r="F84" s="200" t="s">
        <v>149</v>
      </c>
      <c r="G84" s="200" t="s">
        <v>150</v>
      </c>
      <c r="H84" s="200" t="s">
        <v>151</v>
      </c>
      <c r="I84" s="200" t="s">
        <v>152</v>
      </c>
      <c r="J84" s="200" t="s">
        <v>153</v>
      </c>
      <c r="K84" s="200" t="s">
        <v>154</v>
      </c>
      <c r="L84" s="200" t="s">
        <v>159</v>
      </c>
      <c r="M84" s="200" t="s">
        <v>155</v>
      </c>
      <c r="N84" s="200" t="s">
        <v>156</v>
      </c>
      <c r="O84" s="200" t="s">
        <v>157</v>
      </c>
      <c r="P84" s="200" t="s">
        <v>158</v>
      </c>
      <c r="Q84" s="200" t="s">
        <v>160</v>
      </c>
    </row>
    <row r="85" spans="2:17" x14ac:dyDescent="0.2">
      <c r="C85" s="237" t="s">
        <v>162</v>
      </c>
      <c r="D85" s="200" t="s">
        <v>148</v>
      </c>
      <c r="E85" s="107">
        <v>-140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</row>
    <row r="86" spans="2:17" x14ac:dyDescent="0.2">
      <c r="C86" s="237"/>
      <c r="D86" s="200" t="s">
        <v>149</v>
      </c>
      <c r="E86" s="107">
        <v>-30</v>
      </c>
      <c r="F86" s="107">
        <v>-50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</row>
    <row r="87" spans="2:17" x14ac:dyDescent="0.2">
      <c r="C87" s="237"/>
      <c r="D87" s="200" t="s">
        <v>150</v>
      </c>
      <c r="E87" s="107">
        <v>-10</v>
      </c>
      <c r="F87" s="107">
        <v>-30</v>
      </c>
      <c r="G87" s="107">
        <v>-32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</row>
    <row r="88" spans="2:17" x14ac:dyDescent="0.2">
      <c r="C88" s="237"/>
      <c r="D88" s="200" t="s">
        <v>151</v>
      </c>
      <c r="E88" s="107">
        <v>-2</v>
      </c>
      <c r="F88" s="107">
        <v>-10</v>
      </c>
      <c r="G88" s="107">
        <v>-20</v>
      </c>
      <c r="H88" s="107">
        <v>-16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</row>
    <row r="89" spans="2:17" x14ac:dyDescent="0.2">
      <c r="C89" s="237"/>
      <c r="D89" s="200" t="s">
        <v>152</v>
      </c>
      <c r="E89" s="107">
        <v>-2</v>
      </c>
      <c r="F89" s="107">
        <v>-2</v>
      </c>
      <c r="G89" s="107">
        <v>-12</v>
      </c>
      <c r="H89" s="107">
        <v>-13</v>
      </c>
      <c r="I89" s="107">
        <v>12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</row>
    <row r="90" spans="2:17" x14ac:dyDescent="0.2">
      <c r="C90" s="237"/>
      <c r="D90" s="200" t="s">
        <v>153</v>
      </c>
      <c r="E90" s="107">
        <v>-2</v>
      </c>
      <c r="F90" s="107">
        <v>-1</v>
      </c>
      <c r="G90" s="107">
        <v>-4</v>
      </c>
      <c r="H90" s="107">
        <v>-10</v>
      </c>
      <c r="I90" s="107">
        <v>10</v>
      </c>
      <c r="J90" s="107">
        <v>18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</row>
    <row r="91" spans="2:17" x14ac:dyDescent="0.2">
      <c r="C91" s="237"/>
      <c r="D91" s="200" t="s">
        <v>154</v>
      </c>
      <c r="E91" s="107">
        <v>-2</v>
      </c>
      <c r="F91" s="107">
        <v>-1</v>
      </c>
      <c r="G91" s="107">
        <v>-2</v>
      </c>
      <c r="H91" s="107">
        <v>-5</v>
      </c>
      <c r="I91" s="107">
        <v>8</v>
      </c>
      <c r="J91" s="107">
        <v>15</v>
      </c>
      <c r="K91" s="107">
        <v>29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</row>
    <row r="92" spans="2:17" x14ac:dyDescent="0.2">
      <c r="C92" s="237"/>
      <c r="D92" s="200" t="s">
        <v>159</v>
      </c>
      <c r="E92" s="107">
        <v>-2</v>
      </c>
      <c r="F92" s="107">
        <v>-1</v>
      </c>
      <c r="G92" s="107">
        <v>-2</v>
      </c>
      <c r="H92" s="107">
        <v>-1</v>
      </c>
      <c r="I92" s="107">
        <v>6</v>
      </c>
      <c r="J92" s="107">
        <v>12</v>
      </c>
      <c r="K92" s="107">
        <v>24</v>
      </c>
      <c r="L92" s="107">
        <v>21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</row>
    <row r="93" spans="2:17" x14ac:dyDescent="0.2">
      <c r="C93" s="237"/>
      <c r="D93" s="200" t="s">
        <v>155</v>
      </c>
      <c r="E93" s="107">
        <v>-2</v>
      </c>
      <c r="F93" s="107">
        <v>-1</v>
      </c>
      <c r="G93" s="107">
        <v>-2</v>
      </c>
      <c r="H93" s="107">
        <v>-1</v>
      </c>
      <c r="I93" s="107">
        <v>2</v>
      </c>
      <c r="J93" s="107">
        <v>9</v>
      </c>
      <c r="K93" s="107">
        <v>19</v>
      </c>
      <c r="L93" s="107">
        <v>18</v>
      </c>
      <c r="M93" s="107">
        <v>24</v>
      </c>
      <c r="N93" s="201">
        <v>0</v>
      </c>
      <c r="O93" s="201">
        <v>0</v>
      </c>
      <c r="P93" s="201">
        <v>0</v>
      </c>
      <c r="Q93" s="201">
        <v>0</v>
      </c>
    </row>
    <row r="94" spans="2:17" x14ac:dyDescent="0.2">
      <c r="C94" s="237"/>
      <c r="D94" s="200" t="s">
        <v>156</v>
      </c>
      <c r="E94" s="107">
        <v>-2</v>
      </c>
      <c r="F94" s="107">
        <v>-1</v>
      </c>
      <c r="G94" s="107">
        <v>-2</v>
      </c>
      <c r="H94" s="107">
        <v>-1</v>
      </c>
      <c r="I94" s="107">
        <v>2</v>
      </c>
      <c r="J94" s="107">
        <v>4</v>
      </c>
      <c r="K94" s="107">
        <v>14</v>
      </c>
      <c r="L94" s="107">
        <v>14</v>
      </c>
      <c r="M94" s="107">
        <v>20</v>
      </c>
      <c r="N94" s="107">
        <v>32</v>
      </c>
      <c r="O94" s="201">
        <v>0</v>
      </c>
      <c r="P94" s="201">
        <v>0</v>
      </c>
      <c r="Q94" s="201">
        <v>0</v>
      </c>
    </row>
    <row r="95" spans="2:17" x14ac:dyDescent="0.2">
      <c r="C95" s="237"/>
      <c r="D95" s="200" t="s">
        <v>157</v>
      </c>
      <c r="E95" s="107">
        <v>-2</v>
      </c>
      <c r="F95" s="107">
        <v>-1</v>
      </c>
      <c r="G95" s="107">
        <v>-2</v>
      </c>
      <c r="H95" s="107">
        <v>-1</v>
      </c>
      <c r="I95" s="107">
        <v>0</v>
      </c>
      <c r="J95" s="107">
        <v>1</v>
      </c>
      <c r="K95" s="107">
        <v>8</v>
      </c>
      <c r="L95" s="107">
        <v>10</v>
      </c>
      <c r="M95" s="107">
        <v>16</v>
      </c>
      <c r="N95" s="107">
        <v>26</v>
      </c>
      <c r="O95" s="107">
        <v>30</v>
      </c>
      <c r="P95" s="201">
        <v>0</v>
      </c>
      <c r="Q95" s="201">
        <v>0</v>
      </c>
    </row>
    <row r="96" spans="2:17" x14ac:dyDescent="0.2">
      <c r="C96" s="237"/>
      <c r="D96" s="200" t="s">
        <v>158</v>
      </c>
      <c r="E96" s="107">
        <v>-2</v>
      </c>
      <c r="F96" s="107">
        <v>-1</v>
      </c>
      <c r="G96" s="107">
        <v>-2</v>
      </c>
      <c r="H96" s="107">
        <v>-1</v>
      </c>
      <c r="I96" s="107">
        <v>0</v>
      </c>
      <c r="J96" s="107">
        <v>1</v>
      </c>
      <c r="K96" s="107">
        <v>1</v>
      </c>
      <c r="L96" s="107">
        <v>6</v>
      </c>
      <c r="M96" s="107">
        <v>12</v>
      </c>
      <c r="N96" s="107">
        <v>18</v>
      </c>
      <c r="O96" s="107">
        <v>15</v>
      </c>
      <c r="P96" s="107">
        <v>72</v>
      </c>
      <c r="Q96" s="201">
        <v>0</v>
      </c>
    </row>
    <row r="97" spans="2:17" x14ac:dyDescent="0.2">
      <c r="C97" s="237"/>
      <c r="D97" s="200" t="s">
        <v>160</v>
      </c>
      <c r="E97" s="107">
        <v>-2</v>
      </c>
      <c r="F97" s="107">
        <v>-1</v>
      </c>
      <c r="G97" s="107">
        <v>0</v>
      </c>
      <c r="H97" s="107">
        <v>-1</v>
      </c>
      <c r="I97" s="107">
        <v>0</v>
      </c>
      <c r="J97" s="107">
        <v>0</v>
      </c>
      <c r="K97" s="107">
        <v>0</v>
      </c>
      <c r="L97" s="107">
        <v>1</v>
      </c>
      <c r="M97" s="107">
        <v>8</v>
      </c>
      <c r="N97" s="107">
        <v>14</v>
      </c>
      <c r="O97" s="107">
        <v>5</v>
      </c>
      <c r="P97" s="107">
        <v>48</v>
      </c>
      <c r="Q97" s="107">
        <v>-175</v>
      </c>
    </row>
    <row r="98" spans="2:17" x14ac:dyDescent="0.2">
      <c r="C98" s="237"/>
      <c r="D98" s="200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C99" s="237"/>
      <c r="D99" s="200" t="s">
        <v>161</v>
      </c>
      <c r="E99" s="202">
        <f>SUM(E85:E97)</f>
        <v>-200</v>
      </c>
      <c r="F99" s="202">
        <f t="shared" ref="F99:Q99" si="7">SUM(F85:F97)</f>
        <v>-100</v>
      </c>
      <c r="G99" s="202">
        <f t="shared" si="7"/>
        <v>-80</v>
      </c>
      <c r="H99" s="202">
        <f t="shared" si="7"/>
        <v>-50</v>
      </c>
      <c r="I99" s="202">
        <f t="shared" si="7"/>
        <v>40</v>
      </c>
      <c r="J99" s="202">
        <f t="shared" si="7"/>
        <v>60</v>
      </c>
      <c r="K99" s="202">
        <f t="shared" si="7"/>
        <v>95</v>
      </c>
      <c r="L99" s="202">
        <f t="shared" si="7"/>
        <v>70</v>
      </c>
      <c r="M99" s="202">
        <f t="shared" si="7"/>
        <v>80</v>
      </c>
      <c r="N99" s="202">
        <f t="shared" si="7"/>
        <v>90</v>
      </c>
      <c r="O99" s="202">
        <f t="shared" si="7"/>
        <v>50</v>
      </c>
      <c r="P99" s="202">
        <f t="shared" si="7"/>
        <v>120</v>
      </c>
      <c r="Q99" s="202">
        <f t="shared" si="7"/>
        <v>-175</v>
      </c>
    </row>
    <row r="102" spans="2:17" s="199" customFormat="1" x14ac:dyDescent="0.2">
      <c r="B102" s="78" t="s">
        <v>165</v>
      </c>
    </row>
    <row r="105" spans="2:17" ht="20.399999999999999" x14ac:dyDescent="0.2">
      <c r="C105" s="107"/>
      <c r="D105" s="146" t="s">
        <v>166</v>
      </c>
      <c r="E105" s="172" t="s">
        <v>167</v>
      </c>
      <c r="F105" s="172" t="s">
        <v>168</v>
      </c>
    </row>
    <row r="106" spans="2:17" x14ac:dyDescent="0.2">
      <c r="C106" s="10" t="s">
        <v>0</v>
      </c>
      <c r="D106" s="203">
        <v>5.1999999999999998E-2</v>
      </c>
      <c r="E106" s="2">
        <v>0.03</v>
      </c>
    </row>
    <row r="107" spans="2:17" x14ac:dyDescent="0.2">
      <c r="C107" s="10" t="s">
        <v>110</v>
      </c>
      <c r="D107" s="203">
        <v>5.5E-2</v>
      </c>
    </row>
    <row r="108" spans="2:17" x14ac:dyDescent="0.2">
      <c r="C108" s="10" t="s">
        <v>111</v>
      </c>
      <c r="D108" s="203">
        <v>5.8999999999999997E-2</v>
      </c>
    </row>
    <row r="109" spans="2:17" x14ac:dyDescent="0.2">
      <c r="C109" s="10" t="s">
        <v>112</v>
      </c>
      <c r="D109" s="204">
        <v>6.3E-2</v>
      </c>
    </row>
    <row r="110" spans="2:17" x14ac:dyDescent="0.2">
      <c r="C110" s="10" t="s">
        <v>113</v>
      </c>
      <c r="D110" s="203">
        <v>6.9000000000000006E-2</v>
      </c>
      <c r="F110" s="2">
        <v>0.09</v>
      </c>
    </row>
    <row r="111" spans="2:17" x14ac:dyDescent="0.2">
      <c r="C111" s="10" t="s">
        <v>114</v>
      </c>
      <c r="D111" s="203">
        <v>7.5999999999999998E-2</v>
      </c>
    </row>
    <row r="112" spans="2:17" x14ac:dyDescent="0.2">
      <c r="C112" s="10" t="s">
        <v>115</v>
      </c>
      <c r="D112" s="203">
        <v>8.5000000000000006E-2</v>
      </c>
    </row>
    <row r="113" spans="3:6" x14ac:dyDescent="0.2">
      <c r="C113" s="10" t="s">
        <v>116</v>
      </c>
      <c r="D113" s="203">
        <v>9.0999999999999998E-2</v>
      </c>
    </row>
    <row r="114" spans="3:6" x14ac:dyDescent="0.2">
      <c r="C114" s="10" t="s">
        <v>117</v>
      </c>
      <c r="D114" s="203">
        <v>0.1</v>
      </c>
      <c r="F114" s="2"/>
    </row>
    <row r="125" spans="3:6" s="199" customFormat="1" ht="14.4" x14ac:dyDescent="0.3">
      <c r="C125" s="217" t="s">
        <v>193</v>
      </c>
    </row>
    <row r="128" spans="3:6" s="39" customFormat="1" ht="20.399999999999999" x14ac:dyDescent="0.3">
      <c r="C128" s="212" t="s">
        <v>178</v>
      </c>
      <c r="D128" s="212" t="s">
        <v>179</v>
      </c>
      <c r="E128" s="212" t="s">
        <v>192</v>
      </c>
      <c r="F128" s="7" t="s">
        <v>180</v>
      </c>
    </row>
    <row r="129" spans="2:6" x14ac:dyDescent="0.2">
      <c r="B129" s="1" t="s">
        <v>181</v>
      </c>
      <c r="C129" s="102">
        <v>7</v>
      </c>
      <c r="D129" s="102">
        <v>4</v>
      </c>
      <c r="E129" s="102">
        <f>AVERAGE(C129:D129)</f>
        <v>5.5</v>
      </c>
      <c r="F129" s="102">
        <f ca="1">D129-RANDBETWEEN(30,50)/100</f>
        <v>3.59</v>
      </c>
    </row>
    <row r="130" spans="2:6" x14ac:dyDescent="0.2">
      <c r="B130" s="1" t="s">
        <v>182</v>
      </c>
      <c r="C130" s="102">
        <f>C129+0.1</f>
        <v>7.1</v>
      </c>
      <c r="D130" s="102">
        <f>D129+0.2</f>
        <v>4.2</v>
      </c>
      <c r="E130" s="102">
        <f t="shared" ref="E130:E139" si="8">AVERAGE(C130:D130)</f>
        <v>5.65</v>
      </c>
      <c r="F130" s="102">
        <f t="shared" ref="F130:F138" ca="1" si="9">D130-RANDBETWEEN(30,50)/100</f>
        <v>3.9000000000000004</v>
      </c>
    </row>
    <row r="131" spans="2:6" x14ac:dyDescent="0.2">
      <c r="B131" s="1" t="s">
        <v>183</v>
      </c>
      <c r="C131" s="102">
        <f t="shared" ref="C131:C139" si="10">C130+0.1</f>
        <v>7.1999999999999993</v>
      </c>
      <c r="D131" s="102">
        <f t="shared" ref="D131:D139" si="11">D130+0.2</f>
        <v>4.4000000000000004</v>
      </c>
      <c r="E131" s="102">
        <f t="shared" si="8"/>
        <v>5.8</v>
      </c>
      <c r="F131" s="102">
        <f t="shared" ca="1" si="9"/>
        <v>3.95</v>
      </c>
    </row>
    <row r="132" spans="2:6" x14ac:dyDescent="0.2">
      <c r="B132" s="1" t="s">
        <v>184</v>
      </c>
      <c r="C132" s="102">
        <f t="shared" si="10"/>
        <v>7.2999999999999989</v>
      </c>
      <c r="D132" s="102">
        <f t="shared" si="11"/>
        <v>4.6000000000000005</v>
      </c>
      <c r="E132" s="102">
        <f t="shared" si="8"/>
        <v>5.9499999999999993</v>
      </c>
      <c r="F132" s="102">
        <f t="shared" ca="1" si="9"/>
        <v>4.2300000000000004</v>
      </c>
    </row>
    <row r="133" spans="2:6" x14ac:dyDescent="0.2">
      <c r="B133" s="1" t="s">
        <v>185</v>
      </c>
      <c r="C133" s="102">
        <f t="shared" si="10"/>
        <v>7.3999999999999986</v>
      </c>
      <c r="D133" s="102">
        <f t="shared" si="11"/>
        <v>4.8000000000000007</v>
      </c>
      <c r="E133" s="102">
        <f t="shared" si="8"/>
        <v>6.1</v>
      </c>
      <c r="F133" s="102">
        <f t="shared" ca="1" si="9"/>
        <v>4.4200000000000008</v>
      </c>
    </row>
    <row r="134" spans="2:6" x14ac:dyDescent="0.2">
      <c r="B134" s="1" t="s">
        <v>186</v>
      </c>
      <c r="C134" s="102">
        <f t="shared" si="10"/>
        <v>7.4999999999999982</v>
      </c>
      <c r="D134" s="102">
        <f t="shared" si="11"/>
        <v>5.0000000000000009</v>
      </c>
      <c r="E134" s="102">
        <f t="shared" si="8"/>
        <v>6.25</v>
      </c>
      <c r="F134" s="102">
        <f t="shared" ca="1" si="9"/>
        <v>4.5400000000000009</v>
      </c>
    </row>
    <row r="135" spans="2:6" x14ac:dyDescent="0.2">
      <c r="B135" s="1" t="s">
        <v>187</v>
      </c>
      <c r="C135" s="102">
        <f t="shared" si="10"/>
        <v>7.5999999999999979</v>
      </c>
      <c r="D135" s="102">
        <f t="shared" si="11"/>
        <v>5.2000000000000011</v>
      </c>
      <c r="E135" s="102">
        <f t="shared" si="8"/>
        <v>6.3999999999999995</v>
      </c>
      <c r="F135" s="102">
        <f t="shared" ca="1" si="9"/>
        <v>4.7200000000000006</v>
      </c>
    </row>
    <row r="136" spans="2:6" x14ac:dyDescent="0.2">
      <c r="B136" s="1" t="s">
        <v>188</v>
      </c>
      <c r="C136" s="102">
        <f t="shared" si="10"/>
        <v>7.6999999999999975</v>
      </c>
      <c r="D136" s="102">
        <f t="shared" si="11"/>
        <v>5.4000000000000012</v>
      </c>
      <c r="E136" s="102">
        <f t="shared" si="8"/>
        <v>6.5499999999999989</v>
      </c>
      <c r="F136" s="102">
        <f t="shared" ca="1" si="9"/>
        <v>5.0300000000000011</v>
      </c>
    </row>
    <row r="137" spans="2:6" x14ac:dyDescent="0.2">
      <c r="B137" s="1" t="s">
        <v>189</v>
      </c>
      <c r="C137" s="102">
        <f t="shared" si="10"/>
        <v>7.7999999999999972</v>
      </c>
      <c r="D137" s="102">
        <f t="shared" si="11"/>
        <v>5.6000000000000014</v>
      </c>
      <c r="E137" s="102">
        <f t="shared" si="8"/>
        <v>6.6999999999999993</v>
      </c>
      <c r="F137" s="102">
        <f t="shared" ca="1" si="9"/>
        <v>5.160000000000001</v>
      </c>
    </row>
    <row r="138" spans="2:6" x14ac:dyDescent="0.2">
      <c r="B138" s="1" t="s">
        <v>190</v>
      </c>
      <c r="C138" s="102">
        <f t="shared" si="10"/>
        <v>7.8999999999999968</v>
      </c>
      <c r="D138" s="102">
        <f t="shared" si="11"/>
        <v>5.8000000000000016</v>
      </c>
      <c r="E138" s="102">
        <f t="shared" si="8"/>
        <v>6.85</v>
      </c>
      <c r="F138" s="102">
        <f t="shared" ca="1" si="9"/>
        <v>5.450000000000002</v>
      </c>
    </row>
    <row r="139" spans="2:6" x14ac:dyDescent="0.2">
      <c r="B139" s="1" t="s">
        <v>191</v>
      </c>
      <c r="C139" s="102">
        <f t="shared" si="10"/>
        <v>7.9999999999999964</v>
      </c>
      <c r="D139" s="102">
        <f t="shared" si="11"/>
        <v>6.0000000000000018</v>
      </c>
      <c r="E139" s="102">
        <f t="shared" si="8"/>
        <v>6.9999999999999991</v>
      </c>
      <c r="F139" s="102">
        <v>13</v>
      </c>
    </row>
    <row r="144" spans="2:6" s="199" customFormat="1" ht="14.4" x14ac:dyDescent="0.3">
      <c r="C144" s="217" t="s">
        <v>194</v>
      </c>
    </row>
    <row r="147" spans="2:6" x14ac:dyDescent="0.2">
      <c r="B147" s="107"/>
      <c r="C147" s="213" t="s">
        <v>195</v>
      </c>
      <c r="D147" s="213" t="s">
        <v>196</v>
      </c>
      <c r="E147" s="1" t="s">
        <v>197</v>
      </c>
      <c r="F147" s="1" t="s">
        <v>198</v>
      </c>
    </row>
    <row r="148" spans="2:6" x14ac:dyDescent="0.2">
      <c r="B148" s="10" t="s">
        <v>0</v>
      </c>
      <c r="C148" s="203">
        <v>5.1999999999999998E-2</v>
      </c>
      <c r="D148" s="2">
        <v>7.0000000000000007E-2</v>
      </c>
      <c r="E148" s="2">
        <v>0.08</v>
      </c>
      <c r="F148" s="2">
        <v>0.06</v>
      </c>
    </row>
    <row r="149" spans="2:6" x14ac:dyDescent="0.2">
      <c r="B149" s="10" t="s">
        <v>110</v>
      </c>
      <c r="C149" s="203">
        <v>5.5E-2</v>
      </c>
      <c r="D149" s="2">
        <v>7.0000000000000007E-2</v>
      </c>
    </row>
    <row r="150" spans="2:6" x14ac:dyDescent="0.2">
      <c r="B150" s="10" t="s">
        <v>111</v>
      </c>
      <c r="C150" s="203">
        <v>5.8999999999999997E-2</v>
      </c>
      <c r="D150" s="2">
        <v>7.0000000000000007E-2</v>
      </c>
    </row>
    <row r="151" spans="2:6" x14ac:dyDescent="0.2">
      <c r="B151" s="10" t="s">
        <v>112</v>
      </c>
      <c r="C151" s="204">
        <v>6.3E-2</v>
      </c>
      <c r="D151" s="2">
        <v>7.0000000000000007E-2</v>
      </c>
    </row>
    <row r="152" spans="2:6" x14ac:dyDescent="0.2">
      <c r="B152" s="10" t="s">
        <v>113</v>
      </c>
      <c r="C152" s="203">
        <v>6.9000000000000006E-2</v>
      </c>
      <c r="D152" s="2">
        <v>7.0000000000000007E-2</v>
      </c>
    </row>
    <row r="153" spans="2:6" x14ac:dyDescent="0.2">
      <c r="B153" s="10" t="s">
        <v>114</v>
      </c>
      <c r="C153" s="203">
        <v>7.5999999999999998E-2</v>
      </c>
      <c r="D153" s="2">
        <v>7.0000000000000007E-2</v>
      </c>
    </row>
    <row r="154" spans="2:6" x14ac:dyDescent="0.2">
      <c r="B154" s="10" t="s">
        <v>115</v>
      </c>
      <c r="C154" s="203">
        <v>8.5000000000000006E-2</v>
      </c>
      <c r="D154" s="2">
        <v>7.0000000000000007E-2</v>
      </c>
    </row>
    <row r="155" spans="2:6" x14ac:dyDescent="0.2">
      <c r="B155" s="10" t="s">
        <v>116</v>
      </c>
      <c r="C155" s="203">
        <v>8.8999999999999996E-2</v>
      </c>
      <c r="D155" s="2">
        <v>7.0000000000000007E-2</v>
      </c>
    </row>
    <row r="156" spans="2:6" x14ac:dyDescent="0.2">
      <c r="B156" s="10" t="s">
        <v>117</v>
      </c>
      <c r="C156" s="203">
        <v>9.0999999999999998E-2</v>
      </c>
      <c r="D156" s="2">
        <v>7.0000000000000007E-2</v>
      </c>
    </row>
    <row r="170" spans="2:5" s="78" customFormat="1" x14ac:dyDescent="0.2">
      <c r="C170" s="78" t="s">
        <v>199</v>
      </c>
    </row>
    <row r="172" spans="2:5" x14ac:dyDescent="0.2">
      <c r="C172" s="241" t="s">
        <v>45</v>
      </c>
      <c r="D172" s="241"/>
    </row>
    <row r="173" spans="2:5" x14ac:dyDescent="0.2">
      <c r="C173" s="77" t="s">
        <v>200</v>
      </c>
      <c r="D173" s="77" t="s">
        <v>201</v>
      </c>
    </row>
    <row r="174" spans="2:5" x14ac:dyDescent="0.2">
      <c r="B174" s="10" t="s">
        <v>110</v>
      </c>
      <c r="C174" s="214">
        <v>250</v>
      </c>
      <c r="D174" s="214">
        <v>0</v>
      </c>
      <c r="E174" s="216">
        <v>3.9E-2</v>
      </c>
    </row>
    <row r="175" spans="2:5" x14ac:dyDescent="0.2">
      <c r="B175" s="10" t="s">
        <v>111</v>
      </c>
      <c r="C175" s="214">
        <v>250</v>
      </c>
      <c r="D175" s="214">
        <v>0</v>
      </c>
      <c r="E175" s="216">
        <v>4.3999999999999997E-2</v>
      </c>
    </row>
    <row r="176" spans="2:5" x14ac:dyDescent="0.2">
      <c r="B176" s="10" t="s">
        <v>112</v>
      </c>
      <c r="C176" s="214">
        <v>250</v>
      </c>
      <c r="D176" s="214">
        <v>0</v>
      </c>
      <c r="E176" s="216">
        <v>4.9000000000000002E-2</v>
      </c>
    </row>
    <row r="177" spans="2:7" x14ac:dyDescent="0.2">
      <c r="B177" s="10" t="s">
        <v>113</v>
      </c>
      <c r="C177" s="214">
        <v>250</v>
      </c>
      <c r="D177" s="214">
        <v>0</v>
      </c>
      <c r="E177" s="216">
        <v>5.1999999999999998E-2</v>
      </c>
    </row>
    <row r="178" spans="2:7" x14ac:dyDescent="0.2">
      <c r="B178" s="10" t="s">
        <v>114</v>
      </c>
      <c r="C178" s="214">
        <v>3000</v>
      </c>
      <c r="D178" s="214">
        <v>0</v>
      </c>
      <c r="E178" s="216">
        <v>5.7999999999999996E-2</v>
      </c>
    </row>
    <row r="179" spans="2:7" x14ac:dyDescent="0.2">
      <c r="B179" s="10" t="s">
        <v>115</v>
      </c>
      <c r="C179" s="214">
        <v>3000</v>
      </c>
      <c r="D179" s="214">
        <v>6500</v>
      </c>
      <c r="E179" s="216">
        <v>6.7000000000000004E-2</v>
      </c>
    </row>
    <row r="180" spans="2:7" x14ac:dyDescent="0.2">
      <c r="B180" s="10" t="s">
        <v>116</v>
      </c>
      <c r="C180" s="214">
        <v>3000</v>
      </c>
      <c r="D180" s="214">
        <v>0</v>
      </c>
      <c r="E180" s="216">
        <v>7.3000000000000009E-2</v>
      </c>
    </row>
    <row r="181" spans="2:7" x14ac:dyDescent="0.2">
      <c r="B181" s="10" t="s">
        <v>117</v>
      </c>
      <c r="C181" s="214">
        <v>3000</v>
      </c>
      <c r="D181" s="214">
        <v>6500</v>
      </c>
      <c r="E181" s="216">
        <v>7.8E-2</v>
      </c>
    </row>
    <row r="182" spans="2:7" x14ac:dyDescent="0.2">
      <c r="C182" s="171"/>
      <c r="F182" s="198">
        <f>SUMPRODUCT(C174:C181,$E$174:$E$181)/SUM(C174:C181)</f>
        <v>6.7230769230769233E-2</v>
      </c>
      <c r="G182" s="198">
        <f>SUMPRODUCT(D174:D181,$E$174:$E$181)/SUM(D174:D181)</f>
        <v>7.2499999999999995E-2</v>
      </c>
    </row>
    <row r="191" spans="2:7" s="199" customFormat="1" x14ac:dyDescent="0.2">
      <c r="C191" s="78" t="s">
        <v>192</v>
      </c>
    </row>
    <row r="195" spans="2:5" ht="40.799999999999997" x14ac:dyDescent="0.2">
      <c r="C195" s="213" t="s">
        <v>202</v>
      </c>
      <c r="D195" s="172" t="s">
        <v>203</v>
      </c>
      <c r="E195" s="172" t="s">
        <v>204</v>
      </c>
    </row>
    <row r="196" spans="2:5" x14ac:dyDescent="0.2">
      <c r="B196" s="10" t="s">
        <v>148</v>
      </c>
      <c r="C196" s="203">
        <v>5.1999999999999998E-2</v>
      </c>
      <c r="D196" s="216">
        <v>4.2000000000000003E-2</v>
      </c>
    </row>
    <row r="197" spans="2:5" x14ac:dyDescent="0.2">
      <c r="B197" s="10" t="s">
        <v>110</v>
      </c>
      <c r="C197" s="203">
        <v>5.5E-2</v>
      </c>
      <c r="D197" s="216">
        <v>4.4999999999999998E-2</v>
      </c>
    </row>
    <row r="198" spans="2:5" x14ac:dyDescent="0.2">
      <c r="B198" s="10" t="s">
        <v>111</v>
      </c>
      <c r="C198" s="203">
        <v>5.8999999999999997E-2</v>
      </c>
      <c r="D198" s="216">
        <v>4.8999999999999995E-2</v>
      </c>
    </row>
    <row r="199" spans="2:5" x14ac:dyDescent="0.2">
      <c r="B199" s="10" t="s">
        <v>112</v>
      </c>
      <c r="C199" s="204">
        <v>6.3E-2</v>
      </c>
      <c r="D199" s="216">
        <v>5.2999999999999999E-2</v>
      </c>
    </row>
    <row r="200" spans="2:5" x14ac:dyDescent="0.2">
      <c r="B200" s="10" t="s">
        <v>113</v>
      </c>
      <c r="C200" s="203">
        <v>6.9000000000000006E-2</v>
      </c>
      <c r="D200" s="216">
        <v>5.9000000000000004E-2</v>
      </c>
    </row>
    <row r="201" spans="2:5" x14ac:dyDescent="0.2">
      <c r="B201" s="10" t="s">
        <v>114</v>
      </c>
      <c r="C201" s="203">
        <v>7.5999999999999998E-2</v>
      </c>
      <c r="D201" s="216">
        <v>6.6000000000000003E-2</v>
      </c>
      <c r="E201" s="203">
        <v>7.5999999999999998E-2</v>
      </c>
    </row>
    <row r="202" spans="2:5" x14ac:dyDescent="0.2">
      <c r="B202" s="10" t="s">
        <v>115</v>
      </c>
      <c r="D202" s="216">
        <v>7.5000000000000011E-2</v>
      </c>
      <c r="E202" s="203">
        <v>8.5000000000000006E-2</v>
      </c>
    </row>
    <row r="203" spans="2:5" x14ac:dyDescent="0.2">
      <c r="B203" s="10" t="s">
        <v>116</v>
      </c>
      <c r="D203" s="216">
        <v>7.9000000000000001E-2</v>
      </c>
      <c r="E203" s="203">
        <v>8.8999999999999996E-2</v>
      </c>
    </row>
    <row r="204" spans="2:5" x14ac:dyDescent="0.2">
      <c r="B204" s="10" t="s">
        <v>117</v>
      </c>
      <c r="D204" s="216">
        <v>8.1000000000000003E-2</v>
      </c>
      <c r="E204" s="203">
        <v>9.0999999999999998E-2</v>
      </c>
    </row>
    <row r="208" spans="2:5" s="199" customFormat="1" x14ac:dyDescent="0.2">
      <c r="C208" s="78" t="s">
        <v>205</v>
      </c>
    </row>
    <row r="211" spans="2:4" ht="20.399999999999999" x14ac:dyDescent="0.2">
      <c r="C211" s="213" t="s">
        <v>206</v>
      </c>
      <c r="D211" s="213" t="s">
        <v>210</v>
      </c>
    </row>
    <row r="212" spans="2:4" x14ac:dyDescent="0.2">
      <c r="B212" s="10" t="s">
        <v>0</v>
      </c>
      <c r="C212" s="216">
        <v>4.2000000000000003E-2</v>
      </c>
      <c r="D212" s="216">
        <f>C212-0.007</f>
        <v>3.5000000000000003E-2</v>
      </c>
    </row>
    <row r="213" spans="2:4" x14ac:dyDescent="0.2">
      <c r="B213" s="10" t="s">
        <v>110</v>
      </c>
      <c r="C213" s="216">
        <v>4.4999999999999998E-2</v>
      </c>
      <c r="D213" s="216">
        <f>C213-0.006</f>
        <v>3.9E-2</v>
      </c>
    </row>
    <row r="214" spans="2:4" x14ac:dyDescent="0.2">
      <c r="B214" s="10" t="s">
        <v>111</v>
      </c>
      <c r="C214" s="216">
        <v>4.8999999999999995E-2</v>
      </c>
      <c r="D214" s="216">
        <f>C214-0.005</f>
        <v>4.3999999999999997E-2</v>
      </c>
    </row>
    <row r="215" spans="2:4" x14ac:dyDescent="0.2">
      <c r="B215" s="10" t="s">
        <v>112</v>
      </c>
      <c r="C215" s="216">
        <v>5.2999999999999999E-2</v>
      </c>
      <c r="D215" s="216">
        <f>C215-0.004</f>
        <v>4.9000000000000002E-2</v>
      </c>
    </row>
    <row r="216" spans="2:4" x14ac:dyDescent="0.2">
      <c r="B216" s="10" t="s">
        <v>113</v>
      </c>
      <c r="C216" s="216">
        <v>5.5E-2</v>
      </c>
      <c r="D216" s="216">
        <f>C216-0.003</f>
        <v>5.1999999999999998E-2</v>
      </c>
    </row>
    <row r="217" spans="2:4" x14ac:dyDescent="0.2">
      <c r="B217" s="10" t="s">
        <v>114</v>
      </c>
      <c r="C217" s="216">
        <v>6.0999999999999999E-2</v>
      </c>
      <c r="D217" s="216">
        <f>C217-0.003</f>
        <v>5.7999999999999996E-2</v>
      </c>
    </row>
    <row r="218" spans="2:4" x14ac:dyDescent="0.2">
      <c r="B218" s="10" t="s">
        <v>115</v>
      </c>
      <c r="C218" s="216">
        <v>6.5000000000000002E-2</v>
      </c>
      <c r="D218" s="216">
        <f>C218+0.002</f>
        <v>6.7000000000000004E-2</v>
      </c>
    </row>
    <row r="219" spans="2:4" x14ac:dyDescent="0.2">
      <c r="B219" s="10" t="s">
        <v>116</v>
      </c>
      <c r="C219" s="216">
        <v>6.9000000000000006E-2</v>
      </c>
      <c r="D219" s="216">
        <f>C219+0.004</f>
        <v>7.3000000000000009E-2</v>
      </c>
    </row>
    <row r="220" spans="2:4" x14ac:dyDescent="0.2">
      <c r="B220" s="10" t="s">
        <v>117</v>
      </c>
      <c r="C220" s="216">
        <v>7.3999999999999996E-2</v>
      </c>
      <c r="D220" s="216">
        <f>C220+0.004</f>
        <v>7.8E-2</v>
      </c>
    </row>
    <row r="223" spans="2:4" x14ac:dyDescent="0.2">
      <c r="C223" s="1" t="s">
        <v>209</v>
      </c>
      <c r="D223" s="218">
        <f>C233-C227</f>
        <v>1000</v>
      </c>
    </row>
    <row r="224" spans="2:4" ht="30.6" x14ac:dyDescent="0.2">
      <c r="C224" s="213" t="s">
        <v>207</v>
      </c>
      <c r="D224" s="213" t="s">
        <v>208</v>
      </c>
    </row>
    <row r="225" spans="2:5" x14ac:dyDescent="0.2">
      <c r="B225" s="10" t="s">
        <v>0</v>
      </c>
      <c r="C225" s="102">
        <v>-100</v>
      </c>
      <c r="D225" s="102">
        <f>SUM(C225:$C$225)</f>
        <v>-100</v>
      </c>
      <c r="E225" s="198"/>
    </row>
    <row r="226" spans="2:5" x14ac:dyDescent="0.2">
      <c r="B226" s="10" t="s">
        <v>110</v>
      </c>
      <c r="C226" s="102">
        <v>-300</v>
      </c>
      <c r="D226" s="102">
        <f>SUM(C$225:$C226)</f>
        <v>-400</v>
      </c>
      <c r="E226" s="198"/>
    </row>
    <row r="227" spans="2:5" x14ac:dyDescent="0.2">
      <c r="B227" s="10" t="s">
        <v>111</v>
      </c>
      <c r="C227" s="102">
        <v>-400</v>
      </c>
      <c r="D227" s="102">
        <f>SUM(C$225:$C227)</f>
        <v>-800</v>
      </c>
      <c r="E227" s="198"/>
    </row>
    <row r="228" spans="2:5" x14ac:dyDescent="0.2">
      <c r="B228" s="10" t="s">
        <v>112</v>
      </c>
      <c r="C228" s="102">
        <v>-200</v>
      </c>
      <c r="D228" s="102">
        <f>SUM(C$225:$C228)</f>
        <v>-1000</v>
      </c>
      <c r="E228" s="198"/>
    </row>
    <row r="229" spans="2:5" x14ac:dyDescent="0.2">
      <c r="B229" s="10" t="s">
        <v>113</v>
      </c>
      <c r="C229" s="102">
        <v>-250</v>
      </c>
      <c r="D229" s="102">
        <f>SUM(C$225:$C229)</f>
        <v>-1250</v>
      </c>
      <c r="E229" s="198"/>
    </row>
    <row r="230" spans="2:5" x14ac:dyDescent="0.2">
      <c r="B230" s="10" t="s">
        <v>114</v>
      </c>
      <c r="C230" s="102">
        <v>-150</v>
      </c>
      <c r="D230" s="102">
        <f>SUM(C$225:$C230)</f>
        <v>-1400</v>
      </c>
      <c r="E230" s="198"/>
    </row>
    <row r="231" spans="2:5" x14ac:dyDescent="0.2">
      <c r="B231" s="10" t="s">
        <v>115</v>
      </c>
      <c r="C231" s="102">
        <v>350</v>
      </c>
      <c r="D231" s="102">
        <f>SUM(C$225:$C231)</f>
        <v>-1050</v>
      </c>
      <c r="E231" s="198"/>
    </row>
    <row r="232" spans="2:5" x14ac:dyDescent="0.2">
      <c r="B232" s="10" t="s">
        <v>116</v>
      </c>
      <c r="C232" s="102">
        <v>450</v>
      </c>
      <c r="D232" s="102">
        <f>SUM(C$225:$C232)</f>
        <v>-600</v>
      </c>
      <c r="E232" s="198"/>
    </row>
    <row r="233" spans="2:5" x14ac:dyDescent="0.2">
      <c r="B233" s="10" t="s">
        <v>117</v>
      </c>
      <c r="C233" s="102">
        <v>600</v>
      </c>
      <c r="D233" s="102">
        <f>SUM(C$225:$C233)</f>
        <v>0</v>
      </c>
      <c r="E233" s="198"/>
    </row>
  </sheetData>
  <mergeCells count="3">
    <mergeCell ref="C85:C99"/>
    <mergeCell ref="E83:Q83"/>
    <mergeCell ref="C172:D172"/>
  </mergeCells>
  <phoneticPr fontId="12" type="noConversion"/>
  <pageMargins left="0.7" right="0.7" top="0.75" bottom="0.75" header="0.3" footer="0.3"/>
  <colBreaks count="1" manualBreakCount="1">
    <brk id="20" max="98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E0FA31F-0D3B-4B53-8415-CDF683312A5F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9005D69B-64DF-4CF1-AD2A-B2AF7C576ABD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IR gap and ∆NII - detailed calc</vt:lpstr>
      <vt:lpstr>∆NII and ∆EVE - in a nutshell</vt:lpstr>
      <vt:lpstr>interest rate hedge</vt:lpstr>
      <vt:lpstr>annuity example</vt:lpstr>
      <vt:lpstr>for slides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STEPANCHENKO, D. (Dmitrii)</cp:lastModifiedBy>
  <cp:lastPrinted>2022-10-31T11:25:34Z</cp:lastPrinted>
  <dcterms:created xsi:type="dcterms:W3CDTF">2015-06-05T18:17:20Z</dcterms:created>
  <dcterms:modified xsi:type="dcterms:W3CDTF">2023-03-13T17:58:43Z</dcterms:modified>
</cp:coreProperties>
</file>